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0" yWindow="32760" windowWidth="27810" windowHeight="12810" tabRatio="657" firstSheet="2" activeTab="2"/>
  </bookViews>
  <sheets>
    <sheet name="INSTRUCTIONS - Non-Teaching " sheetId="1" state="veryHidden" r:id="rId1"/>
    <sheet name="INSTRUCTIONS - HEO Overtime " sheetId="2" state="veryHidden" r:id="rId2"/>
    <sheet name="INSTRUCTIONS - Hourly (Weekly)" sheetId="3" r:id="rId3"/>
    <sheet name="ECP &amp; Prof. Staff (Monthly)" sheetId="4" state="veryHidden" r:id="rId4"/>
    <sheet name="Monthly TS Periods" sheetId="5" state="veryHidden" r:id="rId5"/>
    <sheet name="FT Non-Teaching (Bi-Wkly)" sheetId="6" state="veryHidden" r:id="rId6"/>
    <sheet name="Hourly (Weekly)" sheetId="7" r:id="rId7"/>
    <sheet name="Holidays" sheetId="8" state="veryHidden" r:id="rId8"/>
    <sheet name="Codes" sheetId="9" state="veryHidden" r:id="rId9"/>
    <sheet name="HEOCSRounding-Time" sheetId="10" state="veryHidden" r:id="rId10"/>
    <sheet name="Rounding-Time" sheetId="11" state="veryHidden" r:id="rId11"/>
    <sheet name="Timesheet Periods" sheetId="12" state="veryHidden" r:id="rId12"/>
  </sheets>
  <definedNames>
    <definedName name="_xlfn.IFERROR" hidden="1">#NAME?</definedName>
    <definedName name="CDNum">'Codes'!$P$41:$P$51</definedName>
    <definedName name="CUNY_Colleges">'Codes'!$AD$7:$AD$19</definedName>
    <definedName name="CUNYHolidays">'Holidays'!$A$3:$K$16</definedName>
    <definedName name="ECPLeave">'Codes'!$Z$5:$Z$16</definedName>
    <definedName name="FTLeave">'Codes'!$Z$25:$Z$36</definedName>
    <definedName name="HEOCSTitles">'Codes'!$M$59:$M$77</definedName>
    <definedName name="HourlyWkly">'Timesheet Periods'!$A$161:$A$423</definedName>
    <definedName name="HrsWeek">'Codes'!$P$36</definedName>
    <definedName name="JSNNum">'Codes'!$Q$41:$Q$51</definedName>
    <definedName name="Leave">'Codes'!$Z$4:$Z$14</definedName>
    <definedName name="Month">'Monthly TS Periods'!$A$2:$A$86</definedName>
    <definedName name="MyTimes">#REF!,#REF!,#REF!,#REF!</definedName>
    <definedName name="Other_Code" localSheetId="9" comment="H Legal Holiday">'FT Non-Teaching (Bi-Wkly)'!#REF!</definedName>
    <definedName name="Overtime">'Codes'!$O$36:$P$36</definedName>
    <definedName name="PayPeriod">'Timesheet Periods'!$A$6:$A$137</definedName>
    <definedName name="_xlnm.Print_Area" localSheetId="3">'ECP &amp; Prof. Staff (Monthly)'!$A$1:$S$39</definedName>
    <definedName name="_xlnm.Print_Area" localSheetId="5">'FT Non-Teaching (Bi-Wkly)'!$A$1:$O$57</definedName>
    <definedName name="_xlnm.Print_Area" localSheetId="7">'Holidays'!$A$2:$G$17</definedName>
    <definedName name="_xlnm.Print_Area" localSheetId="6">'Hourly (Weekly)'!$A$1:$P$70</definedName>
    <definedName name="_xlnm.Print_Area" localSheetId="2">'INSTRUCTIONS - Hourly (Weekly)'!$A$1:$H$54</definedName>
    <definedName name="_xlnm.Print_Area" localSheetId="0">'INSTRUCTIONS - Non-Teaching '!$A$1:$B$51</definedName>
    <definedName name="_xlnm.Print_Area" localSheetId="11">'Timesheet Periods'!$A$1:$F$155</definedName>
    <definedName name="Title" localSheetId="6">'Hourly (Weekly)'!$K$8</definedName>
    <definedName name="Titles">'Codes'!$O$16:$O$33</definedName>
  </definedNames>
  <calcPr fullCalcOnLoad="1"/>
</workbook>
</file>

<file path=xl/comments4.xml><?xml version="1.0" encoding="utf-8"?>
<comments xmlns="http://schemas.openxmlformats.org/spreadsheetml/2006/main">
  <authors>
    <author>Wanda Santiago</author>
  </authors>
  <commentList>
    <comment ref="R4" authorId="0">
      <text>
        <r>
          <rPr>
            <sz val="9"/>
            <rFont val="Tahoma"/>
            <family val="2"/>
          </rPr>
          <t>Select the Month, Year from the dropdown menu.
Dates and days will be autopopulated once you have selected the month and year.</t>
        </r>
      </text>
    </comment>
    <comment ref="F11" authorId="0">
      <text>
        <r>
          <rPr>
            <b/>
            <sz val="9"/>
            <rFont val="Tahoma"/>
            <family val="2"/>
          </rPr>
          <t>Enter the number of hours taken</t>
        </r>
        <r>
          <rPr>
            <sz val="9"/>
            <rFont val="Tahoma"/>
            <family val="2"/>
          </rPr>
          <t xml:space="preserve">, for example:
     3.25     for 3 hours and 15 minutes 
     3.50     for 3 hours and 30 minutes 
     3.75     for 3 hours and 45 minutes </t>
        </r>
      </text>
    </comment>
    <comment ref="L11" authorId="0">
      <text>
        <r>
          <rPr>
            <b/>
            <sz val="9"/>
            <rFont val="Tahoma"/>
            <family val="2"/>
          </rPr>
          <t>Enter the number of hours taken</t>
        </r>
        <r>
          <rPr>
            <sz val="9"/>
            <rFont val="Tahoma"/>
            <family val="2"/>
          </rPr>
          <t xml:space="preserve">, for example:
     3.25     for 3 hours and 15 minutes 
     3.50     for 3 hours and 30 minutes 
     3.75     for 3 hours and 45 minutes </t>
        </r>
      </text>
    </comment>
    <comment ref="R11" authorId="0">
      <text>
        <r>
          <rPr>
            <b/>
            <sz val="9"/>
            <rFont val="Tahoma"/>
            <family val="2"/>
          </rPr>
          <t>Enter the number of hours taken</t>
        </r>
        <r>
          <rPr>
            <sz val="9"/>
            <rFont val="Tahoma"/>
            <family val="2"/>
          </rPr>
          <t xml:space="preserve">, for example:
     3.25     for 3 hours and 15 minutes 
     3.50     for 3 hours and 30 minutes 
     3.75     for 3 hours and 45 minutes </t>
        </r>
      </text>
    </comment>
  </commentList>
</comments>
</file>

<file path=xl/comments6.xml><?xml version="1.0" encoding="utf-8"?>
<comments xmlns="http://schemas.openxmlformats.org/spreadsheetml/2006/main">
  <authors>
    <author>Wanda Santiago</author>
  </authors>
  <commentList>
    <comment ref="M26" authorId="0">
      <text>
        <r>
          <rPr>
            <b/>
            <sz val="9"/>
            <rFont val="Tahoma"/>
            <family val="2"/>
          </rPr>
          <t xml:space="preserve">Select Other Leave from drop-down menu.
Other Leave Legend
</t>
        </r>
        <r>
          <rPr>
            <sz val="9"/>
            <rFont val="Tahoma"/>
            <family val="2"/>
          </rPr>
          <t xml:space="preserve">  HS -&gt; Health Screening (</t>
        </r>
        <r>
          <rPr>
            <i/>
            <sz val="9"/>
            <rFont val="Tahoma"/>
            <family val="2"/>
          </rPr>
          <t>4 hrs. max per calendar year</t>
        </r>
        <r>
          <rPr>
            <sz val="9"/>
            <rFont val="Tahoma"/>
            <family val="2"/>
          </rPr>
          <t>)
  JD -&gt; Jury Duty
  BL -&gt; Bereavement Leave
  SE -&gt; Snow Emergency</t>
        </r>
        <r>
          <rPr>
            <b/>
            <sz val="9"/>
            <rFont val="Tahoma"/>
            <family val="2"/>
          </rPr>
          <t xml:space="preserve">
Other Leave Legend (HR Use Only) 
</t>
        </r>
        <r>
          <rPr>
            <sz val="9"/>
            <rFont val="Tahoma"/>
            <family val="2"/>
          </rPr>
          <t xml:space="preserve">  CCL -&gt; Child Care Leave
  FML -&gt; Family Medical Leave
  LWOP -&gt; Leave Without Pay
  ML -&gt; Military Leave
  PPL -&gt; Paid Parental Leave
  UL -&gt; Unauthorized Leave
  WC -&gt; Worker's Compensation</t>
        </r>
      </text>
    </comment>
    <comment ref="I15" authorId="0">
      <text>
        <r>
          <rPr>
            <b/>
            <sz val="9"/>
            <rFont val="Tahoma"/>
            <family val="2"/>
          </rPr>
          <t>SICK LEAVE USED
Enter the number of hours/minutes taken, for example:</t>
        </r>
        <r>
          <rPr>
            <sz val="9"/>
            <rFont val="Tahoma"/>
            <family val="2"/>
          </rPr>
          <t xml:space="preserve">
7.00     for 1 day
4.25     for 4 hours and 15 minutes
5.50     for 5 hours and 30 minutes
6.75     for 6 hours and 45 minutes</t>
        </r>
      </text>
    </comment>
    <comment ref="J15" authorId="0">
      <text>
        <r>
          <rPr>
            <b/>
            <sz val="9"/>
            <rFont val="Tahoma"/>
            <family val="2"/>
          </rPr>
          <t>ANNUAL LEAVE USED
Enter the number of hours/minutes taken, for example:</t>
        </r>
        <r>
          <rPr>
            <sz val="9"/>
            <rFont val="Tahoma"/>
            <family val="2"/>
          </rPr>
          <t xml:space="preserve">
7.00     for 1 day
4.25     for 4 hours and 15 minutes
5.50     for 5 hours and 30 minutes
6.75     for 6 hours and 45 minutes</t>
        </r>
      </text>
    </comment>
    <comment ref="K15" authorId="0">
      <text>
        <r>
          <rPr>
            <b/>
            <sz val="9"/>
            <rFont val="Tahoma"/>
            <family val="2"/>
          </rPr>
          <t>UNSCHEDULED HOLIDAY USED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Enter as Full Day Only, for example:</t>
        </r>
        <r>
          <rPr>
            <sz val="9"/>
            <rFont val="Tahoma"/>
            <family val="2"/>
          </rPr>
          <t xml:space="preserve">
7      for 1 Day</t>
        </r>
      </text>
    </comment>
    <comment ref="L15" authorId="0">
      <text>
        <r>
          <rPr>
            <b/>
            <sz val="9"/>
            <rFont val="Tahoma"/>
            <family val="2"/>
          </rPr>
          <t xml:space="preserve">COMP TIME USED
Enter the number of hours/minutes taken, for example:
</t>
        </r>
        <r>
          <rPr>
            <sz val="9"/>
            <rFont val="Tahoma"/>
            <family val="2"/>
          </rPr>
          <t>7.00     for 1 day
4.25     for 4 hours and 15 minutes
5.50     for 5 hours and 30 minutes
6.75     for 6 hours and 45 minutes</t>
        </r>
      </text>
    </comment>
    <comment ref="M15" authorId="0">
      <text>
        <r>
          <rPr>
            <b/>
            <sz val="9"/>
            <rFont val="Tahoma"/>
            <family val="2"/>
          </rPr>
          <t xml:space="preserve">Select Other Leave from drop-down menu.
Other Leave Legend
</t>
        </r>
        <r>
          <rPr>
            <sz val="9"/>
            <rFont val="Tahoma"/>
            <family val="2"/>
          </rPr>
          <t xml:space="preserve">  HS -&gt; Health Screening </t>
        </r>
        <r>
          <rPr>
            <i/>
            <sz val="9"/>
            <rFont val="Tahoma"/>
            <family val="2"/>
          </rPr>
          <t>(4 hrs. max per calendar year)</t>
        </r>
        <r>
          <rPr>
            <sz val="9"/>
            <rFont val="Tahoma"/>
            <family val="2"/>
          </rPr>
          <t xml:space="preserve">
  JD -&gt; Jury Duty
  BL -&gt; Bereavement Leave
  SE -&gt; Snow Emergency</t>
        </r>
        <r>
          <rPr>
            <b/>
            <sz val="9"/>
            <rFont val="Tahoma"/>
            <family val="2"/>
          </rPr>
          <t xml:space="preserve">
Other Leave Legend (HR Use Only) 
  </t>
        </r>
        <r>
          <rPr>
            <sz val="9"/>
            <rFont val="Tahoma"/>
            <family val="2"/>
          </rPr>
          <t>CCL -&gt; Child Care Leave
  FML -&gt; Family Medical Leave
  LWOP -&gt; Leave Without Pay
  ML -&gt; Military Leave
  PPL -&gt; Paid Parental Leave
  UL -&gt; Unauthorized Leave
  WC -&gt; Worker's Compensation</t>
        </r>
      </text>
    </comment>
    <comment ref="N15" authorId="0">
      <text>
        <r>
          <rPr>
            <b/>
            <sz val="9"/>
            <rFont val="Tahoma"/>
            <family val="2"/>
          </rPr>
          <t>HR Use Only</t>
        </r>
        <r>
          <rPr>
            <sz val="9"/>
            <rFont val="Tahoma"/>
            <family val="2"/>
          </rPr>
          <t xml:space="preserve">
OT =&gt; Overtime
CT =&gt; Comp. Time</t>
        </r>
      </text>
    </comment>
    <comment ref="N26" authorId="0">
      <text>
        <r>
          <rPr>
            <b/>
            <sz val="9"/>
            <rFont val="Tahoma"/>
            <family val="2"/>
          </rPr>
          <t>HR Use Only</t>
        </r>
        <r>
          <rPr>
            <sz val="9"/>
            <rFont val="Tahoma"/>
            <family val="2"/>
          </rPr>
          <t xml:space="preserve">
OT =&gt; Overtime
CT =&gt; Comp. Time</t>
        </r>
      </text>
    </comment>
    <comment ref="K12" authorId="0">
      <text>
        <r>
          <rPr>
            <sz val="9"/>
            <rFont val="Tahoma"/>
            <family val="2"/>
          </rPr>
          <t xml:space="preserve">Enter Assigned Work Schedule for Week 1
</t>
        </r>
      </text>
    </comment>
    <comment ref="N12" authorId="0">
      <text>
        <r>
          <rPr>
            <sz val="9"/>
            <rFont val="Tahoma"/>
            <family val="2"/>
          </rPr>
          <t>Enter Assigned Work Schedule for Week 2</t>
        </r>
      </text>
    </comment>
    <comment ref="I3" authorId="0">
      <text>
        <r>
          <rPr>
            <sz val="9"/>
            <rFont val="Tahoma"/>
            <family val="2"/>
          </rPr>
          <t>Enter your Job Title</t>
        </r>
      </text>
    </comment>
    <comment ref="I26" authorId="0">
      <text>
        <r>
          <rPr>
            <b/>
            <sz val="9"/>
            <rFont val="Tahoma"/>
            <family val="2"/>
          </rPr>
          <t>SICK LEAVE USED
Enter the number of hours/minutes taken, for example:</t>
        </r>
        <r>
          <rPr>
            <sz val="9"/>
            <rFont val="Tahoma"/>
            <family val="2"/>
          </rPr>
          <t xml:space="preserve">
7.00     for 1 day
4.25     for 4 hours and 15 minutes
5.50     for 5 hours and 30 minutes
6.75     for 6 hours and 45 minutes</t>
        </r>
      </text>
    </comment>
    <comment ref="J26" authorId="0">
      <text>
        <r>
          <rPr>
            <b/>
            <sz val="9"/>
            <rFont val="Tahoma"/>
            <family val="2"/>
          </rPr>
          <t>ANNUAL LEAVE USED
Enter the number of hours/minutes taken, for example:</t>
        </r>
        <r>
          <rPr>
            <sz val="9"/>
            <rFont val="Tahoma"/>
            <family val="2"/>
          </rPr>
          <t xml:space="preserve">
7.00     for 1 day
4.25     for 4 hours and 15 minutes
5.50     for 5 hours and 30 minutes
6.75     for 6 hours and 45 minutes</t>
        </r>
      </text>
    </comment>
    <comment ref="K26" authorId="0">
      <text>
        <r>
          <rPr>
            <b/>
            <sz val="9"/>
            <rFont val="Tahoma"/>
            <family val="2"/>
          </rPr>
          <t xml:space="preserve">UNSCHEDULED HOLIDAY USED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Enter as Full Day Only, for example:</t>
        </r>
        <r>
          <rPr>
            <sz val="9"/>
            <rFont val="Tahoma"/>
            <family val="2"/>
          </rPr>
          <t xml:space="preserve">
7     for 1 Day</t>
        </r>
      </text>
    </comment>
    <comment ref="L26" authorId="0">
      <text>
        <r>
          <rPr>
            <b/>
            <sz val="9"/>
            <rFont val="Tahoma"/>
            <family val="2"/>
          </rPr>
          <t xml:space="preserve">COMP TIME USED
Enter the number of hours/minutes taken, for example:
</t>
        </r>
        <r>
          <rPr>
            <sz val="9"/>
            <rFont val="Tahoma"/>
            <family val="2"/>
          </rPr>
          <t>7.00     for 1 day
4.25     for 4 hours and 15 minutes
5.50     for 5 hours and 30 minutes
6.75     for 6 hours and 45 minutes</t>
        </r>
      </text>
    </comment>
    <comment ref="I4" authorId="0">
      <text>
        <r>
          <rPr>
            <sz val="9"/>
            <rFont val="Tahoma"/>
            <family val="2"/>
          </rPr>
          <t xml:space="preserve">Click in the Title field
</t>
        </r>
      </text>
    </comment>
    <comment ref="K6" authorId="0">
      <text>
        <r>
          <rPr>
            <sz val="9"/>
            <rFont val="Tahoma"/>
            <family val="2"/>
          </rPr>
          <t xml:space="preserve">Click in the Timesheet Pay Period field
</t>
        </r>
      </text>
    </comment>
    <comment ref="I1" authorId="0">
      <text>
        <r>
          <rPr>
            <sz val="9"/>
            <rFont val="Tahoma"/>
            <family val="2"/>
          </rPr>
          <t xml:space="preserve">Click in the College field
</t>
        </r>
      </text>
    </comment>
    <comment ref="D15" authorId="0">
      <text>
        <r>
          <rPr>
            <sz val="9"/>
            <rFont val="Tahoma"/>
            <family val="2"/>
          </rPr>
          <t>Meal Breaks are recorded for:</t>
        </r>
        <r>
          <rPr>
            <b/>
            <sz val="9"/>
            <rFont val="Tahoma"/>
            <family val="2"/>
          </rPr>
          <t xml:space="preserve">
        30 minutes
              or 
          1 Hour</t>
        </r>
        <r>
          <rPr>
            <sz val="9"/>
            <rFont val="Tahoma"/>
            <family val="2"/>
          </rPr>
          <t xml:space="preserve">
</t>
        </r>
      </text>
    </comment>
    <comment ref="D26" authorId="0">
      <text>
        <r>
          <rPr>
            <sz val="9"/>
            <rFont val="Tahoma"/>
            <family val="2"/>
          </rPr>
          <t>Meal Breaks are recorded for:</t>
        </r>
        <r>
          <rPr>
            <b/>
            <sz val="9"/>
            <rFont val="Tahoma"/>
            <family val="2"/>
          </rPr>
          <t xml:space="preserve">
        30 minutes
              or 
          1 Hour</t>
        </r>
      </text>
    </comment>
    <comment ref="F15" authorId="0">
      <text>
        <r>
          <rPr>
            <b/>
            <sz val="9"/>
            <rFont val="Tahoma"/>
            <family val="2"/>
          </rPr>
          <t>Enter End Time in 15 minute increments only.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Wanda Santiago</author>
  </authors>
  <commentList>
    <comment ref="K8" authorId="0">
      <text>
        <r>
          <rPr>
            <sz val="9"/>
            <rFont val="Tahoma"/>
            <family val="2"/>
          </rPr>
          <t xml:space="preserve">Select your Title from the dropdown menu.
</t>
        </r>
      </text>
    </comment>
    <comment ref="K10" authorId="0">
      <text>
        <r>
          <rPr>
            <sz val="9"/>
            <rFont val="Tahoma"/>
            <family val="2"/>
          </rPr>
          <t>Select the Timesheet Pay Period from the dropdown menu.
Dates and days will be autopopulated once you have selected the pay period.</t>
        </r>
        <r>
          <rPr>
            <b/>
            <sz val="9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9"/>
            <rFont val="Tahoma"/>
            <family val="2"/>
          </rPr>
          <t>Enter the number of hours taken, for example:</t>
        </r>
        <r>
          <rPr>
            <sz val="9"/>
            <rFont val="Tahoma"/>
            <family val="2"/>
          </rPr>
          <t xml:space="preserve">
7.0       for 1 day of sick leave
3.25     for 3 hours and 15 minutes of sick leave
3.50     for 3 hours and 30 minutes of sick leave
3.75     for 3 hours and 45 minutes of sick leave</t>
        </r>
      </text>
    </comment>
    <comment ref="J18" authorId="0">
      <text>
        <r>
          <rPr>
            <b/>
            <sz val="9"/>
            <rFont val="Tahoma"/>
            <family val="2"/>
          </rPr>
          <t>Enter the number of hours taken, for example:</t>
        </r>
        <r>
          <rPr>
            <sz val="9"/>
            <rFont val="Tahoma"/>
            <family val="2"/>
          </rPr>
          <t xml:space="preserve">
7.0       for 1 day of annual leave
3.25     for 3 hours and 15 minutes of annual leave
3.50     for 3 hours and 30 minutes of annual leave
3.75     for 3 hours and 45 minutes of annual leave</t>
        </r>
      </text>
    </comment>
  </commentList>
</comments>
</file>

<file path=xl/comments8.xml><?xml version="1.0" encoding="utf-8"?>
<comments xmlns="http://schemas.openxmlformats.org/spreadsheetml/2006/main">
  <authors>
    <author>Wanda Santiago</author>
  </authors>
  <commentList>
    <comment ref="I7" authorId="0">
      <text>
        <r>
          <rPr>
            <b/>
            <sz val="9"/>
            <rFont val="Tahoma"/>
            <family val="2"/>
          </rPr>
          <t>2016-2017 Observed</t>
        </r>
        <r>
          <rPr>
            <sz val="9"/>
            <rFont val="Tahoma"/>
            <family val="2"/>
          </rPr>
          <t xml:space="preserve">
Xmas Eve 12/23/2022
Xmas 12/26/2022
New Year's Eve 12/30/2022
New Years Day 1/2/2023
Lincoln's Bday ??</t>
        </r>
      </text>
    </comment>
    <comment ref="J12" authorId="0">
      <text>
        <r>
          <rPr>
            <b/>
            <sz val="9"/>
            <rFont val="Tahoma"/>
            <family val="2"/>
          </rPr>
          <t>2016-2017 Observed</t>
        </r>
        <r>
          <rPr>
            <sz val="9"/>
            <rFont val="Tahoma"/>
            <family val="2"/>
          </rPr>
          <t xml:space="preserve">
Lincoln's Bday 2/13/2023</t>
        </r>
      </text>
    </comment>
    <comment ref="I8" authorId="0">
      <text>
        <r>
          <rPr>
            <b/>
            <sz val="9"/>
            <rFont val="Tahoma"/>
            <family val="2"/>
          </rPr>
          <t>2016-2017 Observed</t>
        </r>
        <r>
          <rPr>
            <sz val="9"/>
            <rFont val="Tahoma"/>
            <family val="2"/>
          </rPr>
          <t xml:space="preserve">
Xmas Eve 12/23/2022
Xmas 12/26/2022
New Year's Eve 12/30/2022
New Years Day 1/2/2023
Lincoln's Bday ??</t>
        </r>
      </text>
    </comment>
    <comment ref="I9" authorId="0">
      <text>
        <r>
          <rPr>
            <b/>
            <sz val="9"/>
            <rFont val="Tahoma"/>
            <family val="2"/>
          </rPr>
          <t>2016-2017 Observed</t>
        </r>
        <r>
          <rPr>
            <sz val="9"/>
            <rFont val="Tahoma"/>
            <family val="2"/>
          </rPr>
          <t xml:space="preserve">
Xmas Eve 12/23/2022
Xmas 12/26/2022
New Year's Eve 12/30/2022
New Years Day 1/2/2023
Lincoln's Bday ??</t>
        </r>
      </text>
    </comment>
    <comment ref="H16" authorId="0">
      <text>
        <r>
          <rPr>
            <sz val="9"/>
            <rFont val="Tahoma"/>
            <family val="2"/>
          </rPr>
          <t>7/4 Falls on a Sunday,
Observed 7/5/2021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rFont val="Tahoma"/>
            <family val="2"/>
          </rPr>
          <t>Wanda Santiago: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<sst xmlns="http://schemas.openxmlformats.org/spreadsheetml/2006/main" count="891" uniqueCount="547">
  <si>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</si>
  <si>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</si>
  <si>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</si>
  <si>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</si>
  <si>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</si>
  <si>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</si>
  <si>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</si>
  <si>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</si>
  <si>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</si>
  <si>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Hours Worked</t>
  </si>
  <si>
    <t>Labor Day</t>
  </si>
  <si>
    <t>Columbus Day</t>
  </si>
  <si>
    <t>Memorial Day</t>
  </si>
  <si>
    <t>Holiday</t>
  </si>
  <si>
    <t>Thanksgiving - Day After</t>
  </si>
  <si>
    <t>Thanksgiving Day</t>
  </si>
  <si>
    <t>Christmas Eve</t>
  </si>
  <si>
    <t>Christmas Day</t>
  </si>
  <si>
    <t>New Years Eve</t>
  </si>
  <si>
    <t>New Years Day</t>
  </si>
  <si>
    <t>Martin Luther King Jr.</t>
  </si>
  <si>
    <t>Lincoln's Birthday</t>
  </si>
  <si>
    <t>President's Day</t>
  </si>
  <si>
    <t>Independence Day</t>
  </si>
  <si>
    <t>Fourth Thurdays in Nov</t>
  </si>
  <si>
    <t xml:space="preserve">Third Mon in January </t>
  </si>
  <si>
    <t>Last Monday in May</t>
  </si>
  <si>
    <t>First Mon in September</t>
  </si>
  <si>
    <t>Second Mon in October</t>
  </si>
  <si>
    <t>Fourth Friday in Nov</t>
  </si>
  <si>
    <t>Observation Rule</t>
  </si>
  <si>
    <t>Timesheet Period</t>
  </si>
  <si>
    <t xml:space="preserve"> </t>
  </si>
  <si>
    <t>Start</t>
  </si>
  <si>
    <t>End</t>
  </si>
  <si>
    <t>Payroll</t>
  </si>
  <si>
    <t>Office</t>
  </si>
  <si>
    <t xml:space="preserve">(TR) Training </t>
  </si>
  <si>
    <t>Reporting</t>
  </si>
  <si>
    <t>Employee Type</t>
  </si>
  <si>
    <t>Classified Civil Service</t>
  </si>
  <si>
    <t>Classified Managerial</t>
  </si>
  <si>
    <t>Assistant to HEO</t>
  </si>
  <si>
    <t>Higher Education Assistant</t>
  </si>
  <si>
    <t>Higher Education Associate</t>
  </si>
  <si>
    <t>Higher Education Officer</t>
  </si>
  <si>
    <t>Assistant Chief Architect</t>
  </si>
  <si>
    <t>Assistant Chief Engineer</t>
  </si>
  <si>
    <t>Assistant Principal Custodial Supervisor</t>
  </si>
  <si>
    <t>Assistant Purchasing Agent</t>
  </si>
  <si>
    <t>Broadcast Associate</t>
  </si>
  <si>
    <t>Campus Peace Officer</t>
  </si>
  <si>
    <t>Campus Public Safety Sergeant</t>
  </si>
  <si>
    <t>Campus Security Assistant</t>
  </si>
  <si>
    <t>Campus Security Officer</t>
  </si>
  <si>
    <t>Campus Security Specialist</t>
  </si>
  <si>
    <t>Clerical Associate</t>
  </si>
  <si>
    <t>College Accountant</t>
  </si>
  <si>
    <t>College Accounting Assistant</t>
  </si>
  <si>
    <t>College Graphics Designer</t>
  </si>
  <si>
    <t>College Print Shop Assistant</t>
  </si>
  <si>
    <t>College Print Shop Associate</t>
  </si>
  <si>
    <t>CUNY Administrative Assistant</t>
  </si>
  <si>
    <t>CUNY Custodial Assistant</t>
  </si>
  <si>
    <t>CUNY Office Assistant</t>
  </si>
  <si>
    <t>Custodial Assistant</t>
  </si>
  <si>
    <t>Custodial Supervisor</t>
  </si>
  <si>
    <t>Disability Accommodations Specialist</t>
  </si>
  <si>
    <t>I.T. Assistant</t>
  </si>
  <si>
    <t>I.T. Associate</t>
  </si>
  <si>
    <t>I.T. Senior Associate</t>
  </si>
  <si>
    <t>I.T. Support Assistant</t>
  </si>
  <si>
    <t>Mail/Message Services Worker</t>
  </si>
  <si>
    <t>Motor Vehicle Operator</t>
  </si>
  <si>
    <t>Principal Custodial Supervisor</t>
  </si>
  <si>
    <t>Project Manager</t>
  </si>
  <si>
    <t>Purchasing Agent</t>
  </si>
  <si>
    <t>Senior Custodial Supervisor</t>
  </si>
  <si>
    <t>Stock Worker</t>
  </si>
  <si>
    <t>Supervisor of Stock Workers</t>
  </si>
  <si>
    <t>University Architect</t>
  </si>
  <si>
    <t>University Assistant Architect</t>
  </si>
  <si>
    <t>University Assistant Engineer</t>
  </si>
  <si>
    <t>University Engineer</t>
  </si>
  <si>
    <t>Broadcast Associate Hourly</t>
  </si>
  <si>
    <t>College Assistant</t>
  </si>
  <si>
    <t>Custodial Assistant Hourly</t>
  </si>
  <si>
    <t>I.T. Assistant Hourly</t>
  </si>
  <si>
    <t>I.T. Associate Hourly</t>
  </si>
  <si>
    <t>I.T. Sr. Associate Hourly</t>
  </si>
  <si>
    <t>I.T. Support Assistant Hourly</t>
  </si>
  <si>
    <t>Non-Teaching Adjunct</t>
  </si>
  <si>
    <t>Hourly</t>
  </si>
  <si>
    <t>HEO</t>
  </si>
  <si>
    <t>Executive Compensation Plan</t>
  </si>
  <si>
    <t>(Inv) Investigations</t>
  </si>
  <si>
    <t>(P) Project/Audit</t>
  </si>
  <si>
    <t>(A) General Office/ Admin</t>
  </si>
  <si>
    <t>(CS) Client Support/Service</t>
  </si>
  <si>
    <t>Title Series</t>
  </si>
  <si>
    <t>Job Title</t>
  </si>
  <si>
    <t>Research</t>
  </si>
  <si>
    <t>Field</t>
  </si>
  <si>
    <t>Analysis</t>
  </si>
  <si>
    <t>Follow-up</t>
  </si>
  <si>
    <t>ECP</t>
  </si>
  <si>
    <t>Bi-Weekly</t>
  </si>
  <si>
    <t>Daily Record</t>
  </si>
  <si>
    <t>Total for the Week</t>
  </si>
  <si>
    <t>Month</t>
  </si>
  <si>
    <t>Days</t>
  </si>
  <si>
    <t>1st date</t>
  </si>
  <si>
    <t>First day</t>
  </si>
  <si>
    <t>Last Day</t>
  </si>
  <si>
    <t>Pay Period</t>
  </si>
  <si>
    <t xml:space="preserve">Bi-Weekly </t>
  </si>
  <si>
    <t>Assistant to Higher Education Officer (aHEO), Exempt, Excluded</t>
  </si>
  <si>
    <t>Assistant to Higher Education Officer (aHEO), Exempt, Included</t>
  </si>
  <si>
    <t>Assistant to Higher Education Officer (aHEO), Non Exempt, Excluded</t>
  </si>
  <si>
    <t>Assistant to Higher Education Officer (aHEO), Non Exempt, Included</t>
  </si>
  <si>
    <t>Chief College Laboratory Technician, Exempt, Included</t>
  </si>
  <si>
    <t>College Laboratory Technician, Non Exempt, Included</t>
  </si>
  <si>
    <t>Higher Education Assistant (HEa), Exempt, Excluded</t>
  </si>
  <si>
    <t>Higher Education Assistant (HEa), Exempt, Included</t>
  </si>
  <si>
    <t>Higher Education Assistant (HEa), Non Exempt, Excluded</t>
  </si>
  <si>
    <t>Higher Education Assistant (HEa), Non Exempt, Included</t>
  </si>
  <si>
    <t>Higher Education Associate (HEA), Exempt, Excluded</t>
  </si>
  <si>
    <t>Higher Education Associate (HEA), Exempt, Included</t>
  </si>
  <si>
    <t>Higher Education Officer (HEO), Exempt, Excluded</t>
  </si>
  <si>
    <t>Higher Education Officer (HEO), Exempt, Included</t>
  </si>
  <si>
    <t>Research Assistant, Non Exempt, Included</t>
  </si>
  <si>
    <t>Research Associate, Exempt, Included</t>
  </si>
  <si>
    <t>Senior College Laboratory Technician, Exempt, Included</t>
  </si>
  <si>
    <t>Senior College Laboratory Technician, Non Exempt, Included</t>
  </si>
  <si>
    <t>College Lab Technician</t>
  </si>
  <si>
    <t>Adjunct Lab Technician</t>
  </si>
  <si>
    <t>B-Weekly</t>
  </si>
  <si>
    <t>S = Sick Leave</t>
  </si>
  <si>
    <t>A = Annual Leave</t>
  </si>
  <si>
    <t>U = Unschedule Holiday</t>
  </si>
  <si>
    <t>H = LEGAL HOLIDAY</t>
  </si>
  <si>
    <t>JD = JURY DUTY</t>
  </si>
  <si>
    <t>BL = BEREAVEMENT</t>
  </si>
  <si>
    <t>ML = MILITARY</t>
  </si>
  <si>
    <t>LWOP = Leave WO Pay</t>
  </si>
  <si>
    <t>FMLS = Family Med- SICK</t>
  </si>
  <si>
    <t>FMLA = Family Med-AL</t>
  </si>
  <si>
    <t>S = SNOW EMERGENCY</t>
  </si>
  <si>
    <t>Payday</t>
  </si>
  <si>
    <t>Student Aide</t>
  </si>
  <si>
    <t>Tutor</t>
  </si>
  <si>
    <t>Continuing Education</t>
  </si>
  <si>
    <t>APPROVED</t>
  </si>
  <si>
    <t>I CERTIFY THAT THE DATA BELOW WAS ENTERED INTO PMS</t>
  </si>
  <si>
    <t>EMPLOYEE</t>
  </si>
  <si>
    <t>KEY ENTRY OPERATOR</t>
  </si>
  <si>
    <t xml:space="preserve">Date to Timekeeping </t>
  </si>
  <si>
    <t>Date to University Payroll</t>
  </si>
  <si>
    <t>Auth Use Only</t>
  </si>
  <si>
    <t>Submit to BCC Payroll By:</t>
  </si>
  <si>
    <t>For Paydate of:</t>
  </si>
  <si>
    <t>Click Here for Drop-Down Menu</t>
  </si>
  <si>
    <t>Click on Box to Select from Drop-Down Menu</t>
  </si>
  <si>
    <t xml:space="preserve">Supervisor:  </t>
  </si>
  <si>
    <t xml:space="preserve">Timekeeper:  </t>
  </si>
  <si>
    <t xml:space="preserve">Employee Name:  </t>
  </si>
  <si>
    <t xml:space="preserve">Work Location:  </t>
  </si>
  <si>
    <t xml:space="preserve">Phone:   </t>
  </si>
  <si>
    <t>Select Your Payroll Title</t>
  </si>
  <si>
    <t>Computer Systems Manager</t>
  </si>
  <si>
    <t>Senior Computer Lab Technician</t>
  </si>
  <si>
    <t>Chief Computer Lab Technician</t>
  </si>
  <si>
    <t>Select the Month</t>
  </si>
  <si>
    <t>HOURLY TIMESHEET TITLES</t>
  </si>
  <si>
    <t>Disability Accommodation Spec</t>
  </si>
  <si>
    <t>Campus Security Asst (HRLY)</t>
  </si>
  <si>
    <t>IT Support Asst (HRLY)</t>
  </si>
  <si>
    <t xml:space="preserve">Custodial Asst (HRLY) </t>
  </si>
  <si>
    <t>TITLE CODE</t>
  </si>
  <si>
    <t>Reg Hours</t>
  </si>
  <si>
    <t>SL Usage</t>
  </si>
  <si>
    <t>AL Usage</t>
  </si>
  <si>
    <t>Shift Diff</t>
  </si>
  <si>
    <t xml:space="preserve">OT </t>
  </si>
  <si>
    <t>N/A</t>
  </si>
  <si>
    <t>Title Code</t>
  </si>
  <si>
    <t>Events</t>
  </si>
  <si>
    <t>SUBTOTAL</t>
  </si>
  <si>
    <t>Accruals</t>
  </si>
  <si>
    <t>Adjunct College Lab Tech</t>
  </si>
  <si>
    <t>Adjunct Senior College Lab Tech</t>
  </si>
  <si>
    <t>Continuing Ed</t>
  </si>
  <si>
    <t>I CERTIFY THAT THE TIME REPORT INDICATED ABOVE REFLECT ACTUAL HOURS WORKED</t>
  </si>
  <si>
    <t>SUPERVISOR*</t>
  </si>
  <si>
    <t xml:space="preserve">INSTRUCTIONAL / PROFESSIONAL STAFF MONTHLY TIME REPORT </t>
  </si>
  <si>
    <t>For Individual Use</t>
  </si>
  <si>
    <t>Month/Year</t>
  </si>
  <si>
    <t xml:space="preserve">Department:  </t>
  </si>
  <si>
    <t># of Days:</t>
  </si>
  <si>
    <t xml:space="preserve"> Usage of Accrued Time </t>
  </si>
  <si>
    <t xml:space="preserve">Day </t>
  </si>
  <si>
    <t>Hours*</t>
  </si>
  <si>
    <t>Code</t>
  </si>
  <si>
    <t>TOTAL</t>
  </si>
  <si>
    <t>Signaure of Employee</t>
  </si>
  <si>
    <t>Signature of Supervisor</t>
  </si>
  <si>
    <t>Annual</t>
  </si>
  <si>
    <t>Sick</t>
  </si>
  <si>
    <t>Unscheduled</t>
  </si>
  <si>
    <t>Jury Duty</t>
  </si>
  <si>
    <t>Bereavement</t>
  </si>
  <si>
    <t>Military</t>
  </si>
  <si>
    <t>Leave WO Pay</t>
  </si>
  <si>
    <t>Family Med-AL</t>
  </si>
  <si>
    <t>Family Med- Sick</t>
  </si>
  <si>
    <t>Snow Emergency</t>
  </si>
  <si>
    <t>Type of Leave</t>
  </si>
  <si>
    <t xml:space="preserve">  Hours Worked</t>
  </si>
  <si>
    <t xml:space="preserve">  Sick Hours</t>
  </si>
  <si>
    <t xml:space="preserve">  Annual Hours</t>
  </si>
  <si>
    <t xml:space="preserve">  Nite Shift Diff</t>
  </si>
  <si>
    <t xml:space="preserve">Lunch 
In </t>
  </si>
  <si>
    <t>Overtime</t>
  </si>
  <si>
    <t>Week Number 1</t>
  </si>
  <si>
    <t>Minutes Entered By User</t>
  </si>
  <si>
    <t>WEEK 2 BELOW</t>
  </si>
  <si>
    <t>END</t>
  </si>
  <si>
    <t>Hours 
Worked</t>
  </si>
  <si>
    <t>Minutes Entered 
By User</t>
  </si>
  <si>
    <t>Minutes
CUNY Time</t>
  </si>
  <si>
    <t>Pre-Adjusted 
Hours Worked</t>
  </si>
  <si>
    <t>Final Adjusted 
Hours Worked</t>
  </si>
  <si>
    <t>NSD Minutes
CUNY Time</t>
  </si>
  <si>
    <t>NSD Hours 
Entered by User</t>
  </si>
  <si>
    <t>NSD
Formula</t>
  </si>
  <si>
    <t>NSD Minutes 
Entered by User</t>
  </si>
  <si>
    <t>Hours Entered
 By User</t>
  </si>
  <si>
    <t>Final NSD 
Hours Worked</t>
  </si>
  <si>
    <t>Pre-Adjusted 
NSD</t>
  </si>
  <si>
    <t>OT
Formula</t>
  </si>
  <si>
    <t>OT Hours 
Entered by User</t>
  </si>
  <si>
    <t>OT Minutes 
Entered by User</t>
  </si>
  <si>
    <t>OT Minutes
CUNY Time</t>
  </si>
  <si>
    <t>Pre-Adjusted 
OT</t>
  </si>
  <si>
    <t>Final OT
Hours Worked</t>
  </si>
  <si>
    <t>JSN #:</t>
  </si>
  <si>
    <t>CD#</t>
  </si>
  <si>
    <t>Select CD</t>
  </si>
  <si>
    <t>Select JSN</t>
  </si>
  <si>
    <t xml:space="preserve">  Approved OT</t>
  </si>
  <si>
    <t>Week #</t>
  </si>
  <si>
    <t>Lunch Break</t>
  </si>
  <si>
    <t xml:space="preserve">Name:   </t>
  </si>
  <si>
    <r>
      <rPr>
        <b/>
        <sz val="10"/>
        <rFont val="Calibri"/>
        <family val="2"/>
      </rPr>
      <t>*Hours</t>
    </r>
    <r>
      <rPr>
        <sz val="10"/>
        <rFont val="Calibri"/>
        <family val="2"/>
      </rPr>
      <t>: Use 15-minute increments only.  Unscheduled Days can be used as full day only</t>
    </r>
  </si>
  <si>
    <t xml:space="preserve">  I certify that I attended and met all of my professional responsibilities and dates of absences are coded appropriately.</t>
  </si>
  <si>
    <t>When printing the timesheet, please ensure the following highlighted options are selected</t>
  </si>
  <si>
    <t>A</t>
  </si>
  <si>
    <t>S</t>
  </si>
  <si>
    <t>H</t>
  </si>
  <si>
    <t>JD</t>
  </si>
  <si>
    <t>BL</t>
  </si>
  <si>
    <t>LWOP</t>
  </si>
  <si>
    <t>FMLA</t>
  </si>
  <si>
    <t>FMLS</t>
  </si>
  <si>
    <t>ML</t>
  </si>
  <si>
    <t>SE</t>
  </si>
  <si>
    <t>U</t>
  </si>
  <si>
    <t>Y</t>
  </si>
  <si>
    <t>Nite Shift 
Differential</t>
  </si>
  <si>
    <t xml:space="preserve">  OT Hours Earned</t>
  </si>
  <si>
    <t>JSN #</t>
  </si>
  <si>
    <t xml:space="preserve">Timesheet Pay Period:  </t>
  </si>
  <si>
    <t>Hourly - Weekly Timesheet</t>
  </si>
  <si>
    <t>OT
(Must be Pre-Approved)</t>
  </si>
  <si>
    <t xml:space="preserve">Timesheet Period:    </t>
  </si>
  <si>
    <t xml:space="preserve">Title:     </t>
  </si>
  <si>
    <r>
      <t xml:space="preserve">OT Hours
</t>
    </r>
    <r>
      <rPr>
        <b/>
        <sz val="10"/>
        <rFont val="Calibri"/>
        <family val="2"/>
      </rPr>
      <t>After working 
40 hrs./week</t>
    </r>
  </si>
  <si>
    <r>
      <t xml:space="preserve">* * * * * * * * * * * * * * * * * * * * * * * * * * * * * * * * * * * * * * * * * * </t>
    </r>
    <r>
      <rPr>
        <b/>
        <sz val="14"/>
        <rFont val="Calibri"/>
        <family val="2"/>
      </rPr>
      <t>FOR INTERNAL USE ONLY</t>
    </r>
    <r>
      <rPr>
        <b/>
        <sz val="10"/>
        <rFont val="Century Gothic"/>
        <family val="2"/>
      </rPr>
      <t xml:space="preserve">  * * * * * * * * * * * * * * * * * * * * * * * * * * * * * * * * * * * * * * * * * *</t>
    </r>
  </si>
  <si>
    <r>
      <t xml:space="preserve">*Supervisor may scan and/or email timesheets to </t>
    </r>
    <r>
      <rPr>
        <b/>
        <i/>
        <u val="single"/>
        <sz val="10"/>
        <color indexed="60"/>
        <rFont val="Calibri"/>
        <family val="2"/>
      </rPr>
      <t>Payroll@bcc.cuny.edu</t>
    </r>
  </si>
  <si>
    <t>Hourly - Weekly Basis</t>
  </si>
  <si>
    <t xml:space="preserve">                  DATE</t>
  </si>
  <si>
    <t>Time Usage (Hrs.)</t>
  </si>
  <si>
    <t>Supervisor:</t>
  </si>
  <si>
    <t>Timekeeper:</t>
  </si>
  <si>
    <t>Date (Long Format)</t>
  </si>
  <si>
    <t>Full-Timers</t>
  </si>
  <si>
    <t>PPL</t>
  </si>
  <si>
    <t>Paid Parental Leave</t>
  </si>
  <si>
    <t>Other
Leave</t>
  </si>
  <si>
    <t>Lunch 
Out</t>
  </si>
  <si>
    <t xml:space="preserve">Name:  </t>
  </si>
  <si>
    <t>Employee's Title</t>
  </si>
  <si>
    <t>Supervisor's Title</t>
  </si>
  <si>
    <r>
      <rPr>
        <b/>
        <sz val="10"/>
        <rFont val="Calibri"/>
        <family val="2"/>
      </rPr>
      <t xml:space="preserve">          S </t>
    </r>
    <r>
      <rPr>
        <sz val="10"/>
        <rFont val="Calibri"/>
        <family val="2"/>
      </rPr>
      <t xml:space="preserve"> =  Sick Leave
          </t>
    </r>
    <r>
      <rPr>
        <b/>
        <sz val="10"/>
        <rFont val="Calibri"/>
        <family val="2"/>
      </rPr>
      <t>A</t>
    </r>
    <r>
      <rPr>
        <sz val="10"/>
        <rFont val="Calibri"/>
        <family val="2"/>
      </rPr>
      <t xml:space="preserve">  =  Annual Leave
          </t>
    </r>
    <r>
      <rPr>
        <b/>
        <sz val="10"/>
        <rFont val="Calibri"/>
        <family val="2"/>
      </rPr>
      <t xml:space="preserve">U </t>
    </r>
    <r>
      <rPr>
        <sz val="10"/>
        <rFont val="Calibri"/>
        <family val="2"/>
      </rPr>
      <t xml:space="preserve"> =  Unschedule Holiday
           </t>
    </r>
    <r>
      <rPr>
        <b/>
        <sz val="10"/>
        <rFont val="Calibri"/>
        <family val="2"/>
      </rPr>
      <t xml:space="preserve">  ____________________</t>
    </r>
  </si>
  <si>
    <t>Type of Absence</t>
  </si>
  <si>
    <t>For sick leave in excess of five (5) consecutive workdays, an FMLA form, along with original medical documentation is required.  Special Leave for personal emergency, use designated form</t>
  </si>
  <si>
    <t xml:space="preserve">Assigned Work Schedule:  </t>
  </si>
  <si>
    <t>For Part-Time Timesheet</t>
  </si>
  <si>
    <r>
      <t>Daily Record</t>
    </r>
    <r>
      <rPr>
        <b/>
        <i/>
        <sz val="10"/>
        <rFont val="Calibri"/>
        <family val="2"/>
      </rPr>
      <t xml:space="preserve"> (Completed by Employee)</t>
    </r>
  </si>
  <si>
    <t>From M59:M77 Used for F/T Non-Instructional Timesheet</t>
  </si>
  <si>
    <r>
      <t xml:space="preserve">Sick 
Leave
</t>
    </r>
    <r>
      <rPr>
        <b/>
        <i/>
        <sz val="10"/>
        <rFont val="Calibri"/>
        <family val="2"/>
      </rPr>
      <t>(Hours)</t>
    </r>
  </si>
  <si>
    <r>
      <t xml:space="preserve">Annual
Leave </t>
    </r>
    <r>
      <rPr>
        <b/>
        <i/>
        <sz val="10"/>
        <rFont val="Calibri"/>
        <family val="2"/>
      </rPr>
      <t>(Hours)</t>
    </r>
  </si>
  <si>
    <t>When printing the timesheet, please ensure 
the following  highlighted options are selected</t>
  </si>
  <si>
    <t>Instructions</t>
  </si>
  <si>
    <t xml:space="preserve">
When printing the timesheet, please ensure 
the following highlighted options are selected</t>
  </si>
  <si>
    <t>For Internal Use Only</t>
  </si>
  <si>
    <r>
      <rPr>
        <b/>
        <sz val="11"/>
        <rFont val="Calibri"/>
        <family val="2"/>
      </rPr>
      <t>CUNY Formula for Rounding of Minutes</t>
    </r>
    <r>
      <rPr>
        <sz val="11"/>
        <rFont val="Calibri"/>
        <family val="2"/>
      </rPr>
      <t xml:space="preserve">
If an employee arrives or leaves between:
:00 - :07  mins. after the hour, time will be calculated from the top of the hour
:08 - :22  mins. after the hour, time will be calculated from quarter of the hour
:23 - :37  mins. after the hour, time will be calculated from the half hour
:38 - :52  mins. after the hour, time will be calculated from three quarters past the  hour
:53 - :60  mins. after the hour, time will be calculated from the top of the hour</t>
    </r>
  </si>
  <si>
    <t xml:space="preserve">   Hours Worked</t>
  </si>
  <si>
    <t xml:space="preserve">   Sick Hours</t>
  </si>
  <si>
    <t xml:space="preserve">   Annual Hours</t>
  </si>
  <si>
    <t xml:space="preserve">   Approved OT</t>
  </si>
  <si>
    <t xml:space="preserve">   Nite Shift Differential</t>
  </si>
  <si>
    <t xml:space="preserve">   Jury Duty</t>
  </si>
  <si>
    <r>
      <rPr>
        <b/>
        <sz val="10"/>
        <color indexed="60"/>
        <rFont val="Arial"/>
        <family val="2"/>
      </rPr>
      <t>Printing your Timesheet</t>
    </r>
    <r>
      <rPr>
        <b/>
        <sz val="10"/>
        <color indexed="21"/>
        <rFont val="Arial"/>
        <family val="2"/>
      </rPr>
      <t xml:space="preserve"> - please ensure 
the following  highlighted options are selected</t>
    </r>
  </si>
  <si>
    <t>When printing the timesheet, please ensure the 
following highlighted options are selected</t>
  </si>
  <si>
    <t>Prior Approval is required for Overtime and Comp. Time.  Click on the link below to view/download the HEO OT-CompTime Request form.</t>
  </si>
  <si>
    <t>CUNY Colleges</t>
  </si>
  <si>
    <t>Baruch College</t>
  </si>
  <si>
    <t>Borough of Manhattan Community College</t>
  </si>
  <si>
    <t>Bronx Community College</t>
  </si>
  <si>
    <t>Brooklyn College</t>
  </si>
  <si>
    <t>CUNY Law School</t>
  </si>
  <si>
    <t>Kingsborough Community College</t>
  </si>
  <si>
    <t>Lehman College</t>
  </si>
  <si>
    <t>Medgar Evers College</t>
  </si>
  <si>
    <t>New York City College of Technology</t>
  </si>
  <si>
    <t>Queensborough Community College</t>
  </si>
  <si>
    <t>The City College of New York</t>
  </si>
  <si>
    <t>York College</t>
  </si>
  <si>
    <t>HS</t>
  </si>
  <si>
    <r>
      <t xml:space="preserve">Health Screening </t>
    </r>
    <r>
      <rPr>
        <i/>
        <sz val="10"/>
        <rFont val="Calibri"/>
        <family val="2"/>
      </rPr>
      <t>(4 hr max per calendar year)</t>
    </r>
  </si>
  <si>
    <t>HR Use Only</t>
  </si>
  <si>
    <r>
      <t xml:space="preserve">Employee Certification: </t>
    </r>
    <r>
      <rPr>
        <sz val="12"/>
        <rFont val="Calibri"/>
        <family val="2"/>
      </rPr>
      <t>By signing below I hereby certify that the time reported is accurate.</t>
    </r>
  </si>
  <si>
    <t xml:space="preserve">Week 2:  </t>
  </si>
  <si>
    <t>Week 1:</t>
  </si>
  <si>
    <t xml:space="preserve">Job Title:  </t>
  </si>
  <si>
    <t>Employee Signature</t>
  </si>
  <si>
    <t>Supervisor Signature</t>
  </si>
  <si>
    <t>Timekeeper Signature</t>
  </si>
  <si>
    <r>
      <rPr>
        <b/>
        <sz val="11"/>
        <color indexed="62"/>
        <rFont val="Calibri"/>
        <family val="2"/>
      </rPr>
      <t xml:space="preserve">   OT  </t>
    </r>
    <r>
      <rPr>
        <b/>
        <sz val="11"/>
        <rFont val="Calibri"/>
        <family val="2"/>
      </rPr>
      <t xml:space="preserve">  | </t>
    </r>
    <r>
      <rPr>
        <b/>
        <sz val="11"/>
        <color indexed="62"/>
        <rFont val="Calibri"/>
        <family val="2"/>
      </rPr>
      <t xml:space="preserve">   CT   </t>
    </r>
    <r>
      <rPr>
        <b/>
        <sz val="11"/>
        <rFont val="Calibri"/>
        <family val="2"/>
      </rPr>
      <t xml:space="preserve"> | </t>
    </r>
    <r>
      <rPr>
        <b/>
        <sz val="11"/>
        <color indexed="62"/>
        <rFont val="Calibri"/>
        <family val="2"/>
      </rPr>
      <t xml:space="preserve">   Other  </t>
    </r>
  </si>
  <si>
    <r>
      <rPr>
        <b/>
        <sz val="11"/>
        <color indexed="62"/>
        <rFont val="Calibri"/>
        <family val="2"/>
      </rPr>
      <t xml:space="preserve">   OT  </t>
    </r>
    <r>
      <rPr>
        <b/>
        <sz val="11"/>
        <rFont val="Calibri"/>
        <family val="2"/>
      </rPr>
      <t xml:space="preserve">  | </t>
    </r>
    <r>
      <rPr>
        <b/>
        <sz val="11"/>
        <color indexed="62"/>
        <rFont val="Calibri"/>
        <family val="2"/>
      </rPr>
      <t xml:space="preserve">   CT</t>
    </r>
    <r>
      <rPr>
        <b/>
        <sz val="11"/>
        <rFont val="Calibri"/>
        <family val="2"/>
      </rPr>
      <t xml:space="preserve">    |  </t>
    </r>
    <r>
      <rPr>
        <b/>
        <sz val="11"/>
        <color indexed="62"/>
        <rFont val="Calibri"/>
        <family val="2"/>
      </rPr>
      <t xml:space="preserve">  Other </t>
    </r>
    <r>
      <rPr>
        <b/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</si>
  <si>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62"/>
        <rFont val="Calibri"/>
        <family val="2"/>
      </rPr>
      <t xml:space="preserve">  OT    </t>
    </r>
    <r>
      <rPr>
        <b/>
        <sz val="11"/>
        <rFont val="Calibri"/>
        <family val="2"/>
      </rPr>
      <t xml:space="preserve">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</si>
  <si>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r>
      <t xml:space="preserve">  </t>
    </r>
    <r>
      <rPr>
        <b/>
        <sz val="11"/>
        <color indexed="62"/>
        <rFont val="Calibri"/>
        <family val="2"/>
      </rPr>
      <t xml:space="preserve"> OT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 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</si>
  <si>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r>
      <t xml:space="preserve">   </t>
    </r>
    <r>
      <rPr>
        <b/>
        <sz val="11"/>
        <color indexed="62"/>
        <rFont val="Calibri"/>
        <family val="2"/>
      </rPr>
      <t xml:space="preserve">OT  </t>
    </r>
    <r>
      <rPr>
        <b/>
        <sz val="11"/>
        <rFont val="Calibri"/>
        <family val="2"/>
      </rPr>
      <t xml:space="preserve">  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</si>
  <si>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r>
      <t xml:space="preserve">   </t>
    </r>
    <r>
      <rPr>
        <b/>
        <sz val="11"/>
        <color indexed="62"/>
        <rFont val="Calibri"/>
        <family val="2"/>
      </rPr>
      <t>OT</t>
    </r>
    <r>
      <rPr>
        <b/>
        <sz val="11"/>
        <color indexed="62"/>
        <rFont val="Calibri"/>
        <family val="2"/>
      </rPr>
      <t xml:space="preserve">  </t>
    </r>
    <r>
      <rPr>
        <b/>
        <sz val="11"/>
        <rFont val="Calibri"/>
        <family val="2"/>
      </rPr>
      <t xml:space="preserve">  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</si>
  <si>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62"/>
        <rFont val="Calibri"/>
        <family val="2"/>
      </rPr>
      <t xml:space="preserve">  OT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 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</si>
  <si>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t>In order to simplify the use of the timesheet, drop downs have been provided to facilitate data entries. You may save a copy of the timesheet with your personal information as a template, changing the Assigned Work Schedule and Period Beginning Date, as necessary.</t>
  </si>
  <si>
    <t>Job Title:</t>
  </si>
  <si>
    <t>Name:</t>
  </si>
  <si>
    <t>Enter your First Name, Middle Initial, Last Name.</t>
  </si>
  <si>
    <t>Title:</t>
  </si>
  <si>
    <t xml:space="preserve">                                               </t>
  </si>
  <si>
    <t xml:space="preserve">Department: </t>
  </si>
  <si>
    <t>Enter the name of the department of your primary appointment.</t>
  </si>
  <si>
    <t>Assigned Work Schedule:</t>
  </si>
  <si>
    <t>Daily Record:</t>
  </si>
  <si>
    <t>Use of Accrued Time:</t>
  </si>
  <si>
    <t>Enter hours/minutes used
7.00 for 1 day
4.25 for 4 hours and 15 minutes
5.50 for 5 hours and 30 minutes
6.75 for 6 hours and 45 minutes</t>
  </si>
  <si>
    <t>Other Leave:</t>
  </si>
  <si>
    <t>Comments by Employee:</t>
  </si>
  <si>
    <t>You may enter information for your supervisor and the Office of Human Resources relating to your time submission, including an explanation for any deviations from your approved schedule.</t>
  </si>
  <si>
    <t>Print, Sign and Date:</t>
  </si>
  <si>
    <t>Upon completion, print the timesheet, sign and date it.</t>
  </si>
  <si>
    <t xml:space="preserve">Supervisor Signature: </t>
  </si>
  <si>
    <t>Give the form to your supervisor for signature.</t>
  </si>
  <si>
    <t xml:space="preserve">Keep a record: </t>
  </si>
  <si>
    <t>You may copy and file the signed timesheet in a paper file OR you may scan and save to your computer.</t>
  </si>
  <si>
    <t>Submit to HR:</t>
  </si>
  <si>
    <t>Submit the signed copy to the designated timekeeper in your office or to the Office of Human Resources.</t>
  </si>
  <si>
    <t>HR Use Only:</t>
  </si>
  <si>
    <t>HR will compute other leave, compensatory time and overtime, as applicable.</t>
  </si>
  <si>
    <t>Timekeeper Signature:</t>
  </si>
  <si>
    <t>The member of the department or Human Resources staff member responsible for recording time and leave for the department/campus, or the staff responsible for entering data into an automated system, signs the form.</t>
  </si>
  <si>
    <t>DIRECTIONS FOR THE SUPERVISOR</t>
  </si>
  <si>
    <t>College:</t>
  </si>
  <si>
    <t>Use Drop down Menu to select college</t>
  </si>
  <si>
    <t>Employee Name:</t>
  </si>
  <si>
    <t>Functional Title:</t>
  </si>
  <si>
    <t>Enter Functional Title of Employee</t>
  </si>
  <si>
    <t>Supervisor Name:</t>
  </si>
  <si>
    <t>Enter First Name, Last name of Immediate Supervisor</t>
  </si>
  <si>
    <t>Department:</t>
  </si>
  <si>
    <t>Enter Name of the Department where the employee's primary job is located</t>
  </si>
  <si>
    <t>Regular Assigned Work Schedule:</t>
  </si>
  <si>
    <t>Check the appropriate box</t>
  </si>
  <si>
    <t>FLSA Status:</t>
  </si>
  <si>
    <t>Check the appropriate box. If you do not know the FLSA status of the employee, please contact your HR Office</t>
  </si>
  <si>
    <t>Date:</t>
  </si>
  <si>
    <t>Select date from the drop down calendar</t>
  </si>
  <si>
    <t>Work Hours Assigned:</t>
  </si>
  <si>
    <t>Enter Beginning Time of hours approved for Overtime/Compensatory Time
Use the drop down box to the right to indicate A.M. or P.M.
Enter End Time of hours approved for Overtime/Compensatory Time
Use the drop down box to the right to indicate A.M. or P.M.</t>
  </si>
  <si>
    <t>*Meal Break:</t>
  </si>
  <si>
    <t xml:space="preserve">A meal break of at least 20 minutes or 1 hour must be taken by the employee and recorded if the hours assigned correspond to a regular work day.
An additional 20-minute meal break is to be scheduled between 5 p.m. and 7 p.m. if the hours assigned extend the workday from before 11 a.m. to after 7 p.m. </t>
  </si>
  <si>
    <t>Reason for extended hours:</t>
  </si>
  <si>
    <t>Enter reason for working the extended hours.
To the extent possible, the supervisor shall provide the employee with 48 hours; notice of the assigned overtime.</t>
  </si>
  <si>
    <t>Name of Supervisor and Signature:</t>
  </si>
  <si>
    <t>Directions for President's Designee/Vice President/Dean:</t>
  </si>
  <si>
    <t>Enter name, sign and date
Your signature represents authorization to the immediate supervisor to approve overtime hours.</t>
  </si>
  <si>
    <t>Directions for Office of Human Resources:</t>
  </si>
  <si>
    <t>Enter Total Compensatory Time accrued for the week
Enter Total Overtime accrued for the week
Review in conjunction with the bi-weekly timesheet, as attached
Enter name, sign and date</t>
  </si>
  <si>
    <r>
      <rPr>
        <b/>
        <sz val="14"/>
        <color indexed="8"/>
        <rFont val="Calibri"/>
        <family val="2"/>
      </rPr>
      <t xml:space="preserve"> - This form is to be used for submission of approved assigned Overtime / Compensatory Time.
 - This form must be completed by the Supervisor in advance, before excess time is worked beyond the 35-hour work week, and 
    must include the signature of the President's designee.
 - If more than one form for one week is signed by the supervisor, the employee must attach all signed HEO Overtime/Compensatory
   Forms to their bi-weekly timesheet.</t>
    </r>
    <r>
      <rPr>
        <sz val="14"/>
        <color indexed="8"/>
        <rFont val="Calibri"/>
        <family val="2"/>
      </rPr>
      <t xml:space="preserve">
</t>
    </r>
    <r>
      <rPr>
        <b/>
        <u val="single"/>
        <sz val="14"/>
        <color indexed="8"/>
        <rFont val="Calibri"/>
        <family val="2"/>
      </rPr>
      <t>ELIGIBILITY:</t>
    </r>
    <r>
      <rPr>
        <sz val="14"/>
        <color indexed="8"/>
        <rFont val="Calibri"/>
        <family val="2"/>
      </rPr>
      <t xml:space="preserve"> 
</t>
    </r>
    <r>
      <rPr>
        <b/>
        <sz val="14"/>
        <color indexed="8"/>
        <rFont val="Calibri"/>
        <family val="2"/>
      </rPr>
      <t>FLSA Non-Exempt represented HEO title series employees</t>
    </r>
    <r>
      <rPr>
        <sz val="14"/>
        <color indexed="8"/>
        <rFont val="Calibri"/>
        <family val="2"/>
      </rPr>
      <t xml:space="preserve"> (most Assistant to Higher Education Officers and Higher Education Assistants) are entitled to receive compensatory time for assigned hours worked between 35 and 40 hours on an hour-for-hour basis.
</t>
    </r>
    <r>
      <rPr>
        <b/>
        <sz val="14"/>
        <color indexed="8"/>
        <rFont val="Calibri"/>
        <family val="2"/>
      </rPr>
      <t>All FLSA Non-Exempt employees</t>
    </r>
    <r>
      <rPr>
        <sz val="14"/>
        <color indexed="8"/>
        <rFont val="Calibri"/>
        <family val="2"/>
      </rPr>
      <t xml:space="preserve"> are entitled to receive payment, instead of compensatory time, at the rate of time-and-a-half for hours worked in excess of 40 hours in a week.
</t>
    </r>
    <r>
      <rPr>
        <b/>
        <sz val="14"/>
        <color indexed="8"/>
        <rFont val="Calibri"/>
        <family val="2"/>
      </rPr>
      <t>FLSA Exempt represented HEO title series employees</t>
    </r>
    <r>
      <rPr>
        <sz val="14"/>
        <color indexed="8"/>
        <rFont val="Calibri"/>
        <family val="2"/>
      </rPr>
      <t xml:space="preserve"> (most Higher Education Associates and Higher Education Officers) are entitled to receive compensatory time for all assigned hours worked in excess of 35 hours on an hour-for-hour basis.</t>
    </r>
  </si>
  <si>
    <r>
      <t xml:space="preserve">Enter the regular assigned work schedule for the employee; e.g., </t>
    </r>
    <r>
      <rPr>
        <b/>
        <sz val="14"/>
        <color indexed="8"/>
        <rFont val="Calibri"/>
        <family val="2"/>
      </rPr>
      <t>9 a.m. to 5 p.m.</t>
    </r>
  </si>
  <si>
    <r>
      <t xml:space="preserve">Enter name, sign and date
Your signature represents:  
- </t>
    </r>
    <r>
      <rPr>
        <b/>
        <sz val="14"/>
        <color indexed="8"/>
        <rFont val="Calibri"/>
        <family val="2"/>
      </rPr>
      <t>prior</t>
    </r>
    <r>
      <rPr>
        <sz val="14"/>
        <color indexed="8"/>
        <rFont val="Calibri"/>
        <family val="2"/>
      </rPr>
      <t xml:space="preserve"> written authorization from the President's designee, or as soon thereafter as practicable, in an emergency situation
- </t>
    </r>
    <r>
      <rPr>
        <b/>
        <sz val="14"/>
        <color indexed="8"/>
        <rFont val="Calibri"/>
        <family val="2"/>
      </rPr>
      <t>prior</t>
    </r>
    <r>
      <rPr>
        <sz val="14"/>
        <color indexed="8"/>
        <rFont val="Calibri"/>
        <family val="2"/>
      </rPr>
      <t xml:space="preserve"> approval of the hours entered, or as soon thereafter as practicable,
in an emergency situation</t>
    </r>
  </si>
  <si>
    <r>
      <t xml:space="preserve">                                                  </t>
    </r>
    <r>
      <rPr>
        <b/>
        <u val="single"/>
        <sz val="14"/>
        <color indexed="8"/>
        <rFont val="Calibri"/>
        <family val="2"/>
      </rPr>
      <t>INSTRUCTIONS - COMPLETING THE HEO OVERTIME/COMPENSATORY TIME FORM</t>
    </r>
  </si>
  <si>
    <t xml:space="preserve">                                           INSTRUCTIONS - NON-TEACHING INSTRUCTIONAL STAFF TIMESHEET</t>
  </si>
  <si>
    <t xml:space="preserve">
</t>
  </si>
  <si>
    <t xml:space="preserve">                  Date</t>
  </si>
  <si>
    <t xml:space="preserve"> 
          Type of Leave
   OT    |    CT    |   Other       </t>
  </si>
  <si>
    <t xml:space="preserve"> 
          Type of Leave
   OT    |    CT    |   Other        </t>
  </si>
  <si>
    <t xml:space="preserve">                                                          Click on Box to Select from Drop-Down Menu</t>
  </si>
  <si>
    <t xml:space="preserve">                              Click on Box to Select from Drop-Down Menu</t>
  </si>
  <si>
    <r>
      <t xml:space="preserve">Leave </t>
    </r>
    <r>
      <rPr>
        <b/>
        <i/>
        <sz val="10"/>
        <rFont val="Calibri"/>
        <family val="2"/>
      </rPr>
      <t>(Completed by Employee)</t>
    </r>
  </si>
  <si>
    <t>TOTAL FOR THE PERIOD</t>
  </si>
  <si>
    <t>FULL TIME NON-TEACHING INSTRUCTIONAL STAFF TIMESHEET</t>
  </si>
  <si>
    <t xml:space="preserve">Submit to BCC HR by:  </t>
  </si>
  <si>
    <t>FML</t>
  </si>
  <si>
    <t>Family Medical Leave</t>
  </si>
  <si>
    <t>CCL</t>
  </si>
  <si>
    <t>Child Care Leave</t>
  </si>
  <si>
    <t>UL</t>
  </si>
  <si>
    <t>Unauthorized Leave</t>
  </si>
  <si>
    <t>Submit this report at the end of the calendar month and no later than the 2nd of each month.  Attach forms and/or supporting documentation as necessary and required.</t>
  </si>
  <si>
    <r>
      <t xml:space="preserve">  </t>
    </r>
    <r>
      <rPr>
        <b/>
        <u val="single"/>
        <sz val="9"/>
        <rFont val="Calibri"/>
        <family val="2"/>
      </rPr>
      <t>Other Leave Legend</t>
    </r>
    <r>
      <rPr>
        <b/>
        <sz val="9"/>
        <rFont val="Calibri"/>
        <family val="2"/>
      </rPr>
      <t xml:space="preserve">
  HS</t>
    </r>
    <r>
      <rPr>
        <sz val="9"/>
        <rFont val="Calibri"/>
        <family val="2"/>
      </rPr>
      <t xml:space="preserve"> - Health Screening (4 hr max per calendar year)</t>
    </r>
    <r>
      <rPr>
        <b/>
        <sz val="9"/>
        <rFont val="Calibri"/>
        <family val="2"/>
      </rPr>
      <t xml:space="preserve">
  JD</t>
    </r>
    <r>
      <rPr>
        <sz val="9"/>
        <rFont val="Calibri"/>
        <family val="2"/>
      </rPr>
      <t xml:space="preserve"> - Jury Duty</t>
    </r>
    <r>
      <rPr>
        <b/>
        <sz val="9"/>
        <rFont val="Calibri"/>
        <family val="2"/>
      </rPr>
      <t xml:space="preserve">
  SE </t>
    </r>
    <r>
      <rPr>
        <sz val="9"/>
        <rFont val="Calibri"/>
        <family val="2"/>
      </rPr>
      <t>- Snow Emergency</t>
    </r>
    <r>
      <rPr>
        <b/>
        <sz val="9"/>
        <rFont val="Calibri"/>
        <family val="2"/>
      </rPr>
      <t xml:space="preserve">
  </t>
    </r>
    <r>
      <rPr>
        <b/>
        <u val="single"/>
        <sz val="9"/>
        <rFont val="Calibri"/>
        <family val="2"/>
      </rPr>
      <t>Other Leave Legend (</t>
    </r>
    <r>
      <rPr>
        <b/>
        <i/>
        <u val="single"/>
        <sz val="9"/>
        <rFont val="Calibri"/>
        <family val="2"/>
      </rPr>
      <t>HR Use Only</t>
    </r>
    <r>
      <rPr>
        <b/>
        <u val="single"/>
        <sz val="9"/>
        <rFont val="Calibri"/>
        <family val="2"/>
      </rPr>
      <t>)</t>
    </r>
    <r>
      <rPr>
        <b/>
        <sz val="9"/>
        <rFont val="Calibri"/>
        <family val="2"/>
      </rPr>
      <t xml:space="preserve"> 
  CCL - </t>
    </r>
    <r>
      <rPr>
        <sz val="9"/>
        <rFont val="Calibri"/>
        <family val="2"/>
      </rPr>
      <t>Child Care Leave</t>
    </r>
    <r>
      <rPr>
        <b/>
        <sz val="9"/>
        <rFont val="Calibri"/>
        <family val="2"/>
      </rPr>
      <t xml:space="preserve">
  FML</t>
    </r>
    <r>
      <rPr>
        <sz val="9"/>
        <rFont val="Calibri"/>
        <family val="2"/>
      </rPr>
      <t xml:space="preserve"> - Family Medical Leave</t>
    </r>
    <r>
      <rPr>
        <b/>
        <sz val="9"/>
        <rFont val="Calibri"/>
        <family val="2"/>
      </rPr>
      <t xml:space="preserve">
  LWOP</t>
    </r>
    <r>
      <rPr>
        <sz val="9"/>
        <rFont val="Calibri"/>
        <family val="2"/>
      </rPr>
      <t xml:space="preserve"> - Leave Without Pay</t>
    </r>
    <r>
      <rPr>
        <b/>
        <sz val="9"/>
        <rFont val="Calibri"/>
        <family val="2"/>
      </rPr>
      <t xml:space="preserve">
  ML</t>
    </r>
    <r>
      <rPr>
        <sz val="9"/>
        <rFont val="Calibri"/>
        <family val="2"/>
      </rPr>
      <t xml:space="preserve"> - Military Leave</t>
    </r>
    <r>
      <rPr>
        <b/>
        <sz val="9"/>
        <rFont val="Calibri"/>
        <family val="2"/>
      </rPr>
      <t xml:space="preserve">
  PPL</t>
    </r>
    <r>
      <rPr>
        <sz val="9"/>
        <rFont val="Calibri"/>
        <family val="2"/>
      </rPr>
      <t xml:space="preserve"> - Paid Parental Leave</t>
    </r>
    <r>
      <rPr>
        <b/>
        <sz val="9"/>
        <rFont val="Calibri"/>
        <family val="2"/>
      </rPr>
      <t xml:space="preserve">
  UL</t>
    </r>
    <r>
      <rPr>
        <sz val="9"/>
        <rFont val="Calibri"/>
        <family val="2"/>
      </rPr>
      <t xml:space="preserve"> - Unauthorized Leave</t>
    </r>
    <r>
      <rPr>
        <b/>
        <sz val="9"/>
        <rFont val="Calibri"/>
        <family val="2"/>
      </rPr>
      <t xml:space="preserve">
  WC</t>
    </r>
    <r>
      <rPr>
        <sz val="9"/>
        <rFont val="Calibri"/>
        <family val="2"/>
      </rPr>
      <t xml:space="preserve"> - Worker's Compensation</t>
    </r>
  </si>
  <si>
    <r>
      <t xml:space="preserve"> </t>
    </r>
    <r>
      <rPr>
        <sz val="11"/>
        <color indexed="62"/>
        <rFont val="Calibri"/>
        <family val="2"/>
      </rPr>
      <t xml:space="preserve">  </t>
    </r>
    <r>
      <rPr>
        <sz val="11"/>
        <color indexed="62"/>
        <rFont val="Calibri"/>
        <family val="2"/>
      </rPr>
      <t xml:space="preserve">OT </t>
    </r>
    <r>
      <rPr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 |   </t>
    </r>
    <r>
      <rPr>
        <sz val="11"/>
        <color indexed="62"/>
        <rFont val="Calibri"/>
        <family val="2"/>
      </rPr>
      <t xml:space="preserve"> </t>
    </r>
    <r>
      <rPr>
        <sz val="11"/>
        <color indexed="62"/>
        <rFont val="Calibri"/>
        <family val="2"/>
      </rPr>
      <t xml:space="preserve">CT </t>
    </r>
    <r>
      <rPr>
        <b/>
        <sz val="11"/>
        <color indexed="62"/>
        <rFont val="Calibri"/>
        <family val="2"/>
      </rPr>
      <t xml:space="preserve">  </t>
    </r>
    <r>
      <rPr>
        <b/>
        <sz val="11"/>
        <rFont val="Calibri"/>
        <family val="2"/>
      </rPr>
      <t xml:space="preserve"> |   </t>
    </r>
    <r>
      <rPr>
        <b/>
        <sz val="11"/>
        <color indexed="62"/>
        <rFont val="Calibri"/>
        <family val="2"/>
      </rPr>
      <t xml:space="preserve"> </t>
    </r>
    <r>
      <rPr>
        <sz val="11"/>
        <color indexed="62"/>
        <rFont val="Calibri"/>
        <family val="2"/>
      </rPr>
      <t xml:space="preserve">Other </t>
    </r>
    <r>
      <rPr>
        <b/>
        <sz val="11"/>
        <color indexed="62"/>
        <rFont val="Calibri"/>
        <family val="2"/>
      </rPr>
      <t xml:space="preserve"> </t>
    </r>
  </si>
  <si>
    <r>
      <t xml:space="preserve">End
</t>
    </r>
    <r>
      <rPr>
        <b/>
        <i/>
        <sz val="9"/>
        <rFont val="Calibri"/>
        <family val="2"/>
      </rPr>
      <t>(15-mins. Increments)</t>
    </r>
  </si>
  <si>
    <t>Grace Period of 6 Minutes</t>
  </si>
  <si>
    <r>
      <rPr>
        <b/>
        <sz val="11"/>
        <rFont val="Calibri"/>
        <family val="2"/>
      </rPr>
      <t>CUNY Formula for Rounding of Minutes</t>
    </r>
    <r>
      <rPr>
        <sz val="11"/>
        <rFont val="Calibri"/>
        <family val="2"/>
      </rPr>
      <t xml:space="preserve">
If an employee arrives between:
</t>
    </r>
    <r>
      <rPr>
        <sz val="10"/>
        <rFont val="Calibri"/>
        <family val="2"/>
      </rPr>
      <t>:00 - :06  mins. after the hour, time will be calculated from the top of the hour
:07 - :21  mins. after the hour, time will be calculated from quarter of the hour
:22 - :36  mins. after the hour, time will be calculated from the half hour
:37 - :51  mins. after the hour, time will be calculated from three quarters past the hour
:52 - :60  mins. after the hour, time will be calculated from the top of the hour</t>
    </r>
  </si>
  <si>
    <t>Unscheduled for 12/24/17</t>
  </si>
  <si>
    <t>Unscheduled for 12/31/17</t>
  </si>
  <si>
    <t xml:space="preserve">Payroll Title:  </t>
  </si>
  <si>
    <r>
      <rPr>
        <b/>
        <sz val="10"/>
        <rFont val="Calibri"/>
        <family val="2"/>
      </rPr>
      <t>Instructions</t>
    </r>
    <r>
      <rPr>
        <sz val="10"/>
        <rFont val="Calibri"/>
        <family val="2"/>
      </rPr>
      <t xml:space="preserve">
1.  Select Your College from the drop-down menu
2.  Enter your Job Title (</t>
    </r>
    <r>
      <rPr>
        <i/>
        <sz val="10"/>
        <rFont val="Calibri"/>
        <family val="2"/>
      </rPr>
      <t>ex:  Director, Assistant Director, Manager, etc.</t>
    </r>
    <r>
      <rPr>
        <sz val="10"/>
        <rFont val="Calibri"/>
        <family val="2"/>
      </rPr>
      <t>)
3.  Select Title and Pay Period from the drop-down menus
4.  Enter all required information (</t>
    </r>
    <r>
      <rPr>
        <i/>
        <sz val="10"/>
        <rFont val="Calibri"/>
        <family val="2"/>
      </rPr>
      <t>name, dept., EmplID, etc.</t>
    </r>
    <r>
      <rPr>
        <sz val="10"/>
        <rFont val="Calibri"/>
        <family val="2"/>
      </rPr>
      <t>)
5.  Save it (</t>
    </r>
    <r>
      <rPr>
        <i/>
        <sz val="10"/>
        <rFont val="Calibri"/>
        <family val="2"/>
      </rPr>
      <t>ex:  Week of 05-22-16 - 06-04-16</t>
    </r>
    <r>
      <rPr>
        <sz val="10"/>
        <rFont val="Calibri"/>
        <family val="2"/>
      </rPr>
      <t>)
6.  Print it &amp; Sign it (</t>
    </r>
    <r>
      <rPr>
        <i/>
        <sz val="10"/>
        <rFont val="Calibri"/>
        <family val="2"/>
      </rPr>
      <t>you and your supervisor/timekeeper must sign</t>
    </r>
    <r>
      <rPr>
        <sz val="10"/>
        <rFont val="Calibri"/>
        <family val="2"/>
      </rPr>
      <t>)
7.  Send it to Human Resources along with any forms or supporting 
     documentation as necessary or required.</t>
    </r>
  </si>
  <si>
    <r>
      <t xml:space="preserve">             Meal Break
</t>
    </r>
    <r>
      <rPr>
        <b/>
        <sz val="11"/>
        <rFont val="Calibri"/>
        <family val="2"/>
      </rPr>
      <t xml:space="preserve">
   Time Out  </t>
    </r>
    <r>
      <rPr>
        <sz val="11"/>
        <rFont val="Calibri"/>
        <family val="2"/>
      </rPr>
      <t>|</t>
    </r>
    <r>
      <rPr>
        <b/>
        <sz val="11"/>
        <rFont val="Calibri"/>
        <family val="2"/>
      </rPr>
      <t xml:space="preserve">    Time In</t>
    </r>
  </si>
  <si>
    <r>
      <t xml:space="preserve">Sick 
Leave
</t>
    </r>
    <r>
      <rPr>
        <b/>
        <i/>
        <sz val="9"/>
        <rFont val="Calibri"/>
        <family val="2"/>
      </rPr>
      <t>(Hours)</t>
    </r>
  </si>
  <si>
    <r>
      <t xml:space="preserve">Comp.
Time
</t>
    </r>
    <r>
      <rPr>
        <b/>
        <i/>
        <sz val="10"/>
        <rFont val="Calibri"/>
        <family val="2"/>
      </rPr>
      <t>(Hours)</t>
    </r>
  </si>
  <si>
    <t>WC</t>
  </si>
  <si>
    <t>Worker's Compensation</t>
  </si>
  <si>
    <t>Enter the name of your supervisor.</t>
  </si>
  <si>
    <t>Payroll Title:</t>
  </si>
  <si>
    <t xml:space="preserve">Enter your functional title, e.g., Assistant Director for Admissions.
</t>
  </si>
  <si>
    <t>Use the drop down arrow on the right to select your contract title.
Contact HR:
-   If you don't know whether you are exempt or non-exempt under the FLSA. You may also find your FLSA status on your job posting, or on your current job description, which is available in your personal personnel file.
-   If you don't know whether you are excuded from representation by the PSC by virtue of your functional title.</t>
  </si>
  <si>
    <t>Enter the name of your timekeeper.</t>
  </si>
  <si>
    <t>Select the appropriate pay period from the drop-down menu.</t>
  </si>
  <si>
    <t>Pay Period:</t>
  </si>
  <si>
    <t>Work Location:</t>
  </si>
  <si>
    <t>Enter your building and room number.</t>
  </si>
  <si>
    <t>Phone:</t>
  </si>
  <si>
    <t>Enter your office phone number.</t>
  </si>
  <si>
    <t>CUNYfirst Empl. ID</t>
  </si>
  <si>
    <r>
      <t>Enter your CUNYfirst EMPLID.
(</t>
    </r>
    <r>
      <rPr>
        <i/>
        <sz val="14"/>
        <color indexed="8"/>
        <rFont val="Calibri"/>
        <family val="2"/>
      </rPr>
      <t>Contact College HR if you do not know your Empl. ID.</t>
    </r>
    <r>
      <rPr>
        <sz val="14"/>
        <color indexed="8"/>
        <rFont val="Calibri"/>
        <family val="2"/>
      </rPr>
      <t>)</t>
    </r>
  </si>
  <si>
    <r>
      <t xml:space="preserve">Enter your scheduled daily arrival and departure times for the bi-weekly period covered by this timesheet period. 
</t>
    </r>
    <r>
      <rPr>
        <i/>
        <sz val="14"/>
        <color indexed="8"/>
        <rFont val="Calibri"/>
        <family val="2"/>
      </rPr>
      <t>(Please note that a normal work day should typically encompass seven (7) hours, with an additional hour for a meal break, as assigned and approved by your supervisor.)</t>
    </r>
    <r>
      <rPr>
        <sz val="14"/>
        <color indexed="8"/>
        <rFont val="Calibri"/>
        <family val="2"/>
      </rPr>
      <t xml:space="preserve">
-   If you have a different work schedule for Week 1 and Week 2 of the bi-weekly period, enter accordingly.
-   If your schedule varies from day to day, note it in the Comments by Employee section.
-   If you deviate from your assigned work schedule, make note of this in the Comments by Employee section.
-   Please note that whenever possible, changes in your work schedule should be approved by your supervisor in advance.</t>
    </r>
  </si>
  <si>
    <t>Select the appropriate Leave Code from the drop-down menu.</t>
  </si>
  <si>
    <r>
      <t xml:space="preserve">UH
Leave
</t>
    </r>
    <r>
      <rPr>
        <b/>
        <i/>
        <sz val="10"/>
        <rFont val="Calibri"/>
        <family val="2"/>
      </rPr>
      <t>(Enter 7</t>
    </r>
    <r>
      <rPr>
        <b/>
        <i/>
        <sz val="9"/>
        <rFont val="Calibri"/>
        <family val="2"/>
      </rPr>
      <t>)</t>
    </r>
  </si>
  <si>
    <r>
      <t xml:space="preserve">UH
Leave
</t>
    </r>
    <r>
      <rPr>
        <b/>
        <i/>
        <sz val="10"/>
        <rFont val="Calibri"/>
        <family val="2"/>
      </rPr>
      <t>(Enter 7)</t>
    </r>
  </si>
  <si>
    <t>Sick Leave/Annual Leave/
Comp. Time:</t>
  </si>
  <si>
    <t>Unscheduled Holidays</t>
  </si>
  <si>
    <t>Must be recorded as a full day, i.e., 7 (hours)</t>
  </si>
  <si>
    <r>
      <t>You must follow college protocols for requesting leaves.
-   Time taken for sick and annual leave must be recorded in no less than 15-minute     
     increments. (</t>
    </r>
    <r>
      <rPr>
        <i/>
        <sz val="14"/>
        <color indexed="8"/>
        <rFont val="Calibri"/>
        <family val="2"/>
      </rPr>
      <t>Unscheduled Holidays must be recorded as a full day, i.e., 7 (hours))</t>
    </r>
  </si>
  <si>
    <r>
      <t xml:space="preserve">The timesheet includes formulas to calculate hours worked.  Enter your Start Time, Meal Time (see Meal Break) and End Time.
</t>
    </r>
    <r>
      <rPr>
        <b/>
        <sz val="14"/>
        <color indexed="8"/>
        <rFont val="Calibri"/>
        <family val="2"/>
      </rPr>
      <t xml:space="preserve">Prior Approval is required for Overtime and Compensatory Time.  
</t>
    </r>
    <r>
      <rPr>
        <sz val="14"/>
        <color indexed="8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>Start Time:</t>
    </r>
    <r>
      <rPr>
        <sz val="14"/>
        <color indexed="8"/>
        <rFont val="Calibri"/>
        <family val="2"/>
      </rPr>
      <t xml:space="preserve">
-   Enter the time you arrived at work.  For 8:30 am, you should enter "8:30 a". The timesheet 
    will record 8:30 am.  (</t>
    </r>
    <r>
      <rPr>
        <i/>
        <sz val="14"/>
        <color indexed="8"/>
        <rFont val="Calibri"/>
        <family val="2"/>
      </rPr>
      <t>It is critical to remember to use a colon in the number.</t>
    </r>
    <r>
      <rPr>
        <sz val="14"/>
        <color indexed="8"/>
        <rFont val="Calibri"/>
        <family val="2"/>
      </rPr>
      <t xml:space="preserve">)
-   Please note that Start Time will be automatically calculated as follows: 
       </t>
    </r>
    <r>
      <rPr>
        <sz val="12"/>
        <color indexed="8"/>
        <rFont val="Calibri"/>
        <family val="2"/>
      </rPr>
      <t>:00 - :06  mins. after the hour, time will be calculated from the top of the hour
       :07 - :21  mins. after the hour, time will be calculated from quarter of the hour
       :22 - :36  mins. after the hour, time will be calculated from the half hour
       :37 - :51  mins. after the hour, time will be calculated from three quarters past the hour
       :52 - :60  mins. after the hour, time will be calculated from the top of the hour</t>
    </r>
    <r>
      <rPr>
        <sz val="14"/>
        <color indexed="8"/>
        <rFont val="Calibri"/>
        <family val="2"/>
      </rPr>
      <t xml:space="preserve">
    </t>
    </r>
    <r>
      <rPr>
        <i/>
        <sz val="14"/>
        <color indexed="8"/>
        <rFont val="Calibri"/>
        <family val="2"/>
      </rPr>
      <t>For example</t>
    </r>
    <r>
      <rPr>
        <sz val="14"/>
        <color indexed="8"/>
        <rFont val="Calibri"/>
        <family val="2"/>
      </rPr>
      <t xml:space="preserve">:   </t>
    </r>
    <r>
      <rPr>
        <i/>
        <sz val="14"/>
        <color indexed="8"/>
        <rFont val="Calibri"/>
        <family val="2"/>
      </rPr>
      <t xml:space="preserve">An employee reporting to work at 9:06 a.m. records 9:00 a.m.
                                An employee reporting to work at 9:07 a.m. records 9:15 a.m.
</t>
    </r>
    <r>
      <rPr>
        <b/>
        <sz val="14"/>
        <color indexed="8"/>
        <rFont val="Calibri"/>
        <family val="2"/>
      </rPr>
      <t>Meal Break:</t>
    </r>
    <r>
      <rPr>
        <b/>
        <i/>
        <sz val="14"/>
        <color indexed="8"/>
        <rFont val="Calibri"/>
        <family val="2"/>
      </rPr>
      <t xml:space="preserve">
</t>
    </r>
    <r>
      <rPr>
        <sz val="14"/>
        <color indexed="8"/>
        <rFont val="Calibri"/>
        <family val="2"/>
      </rPr>
      <t xml:space="preserve">Unless your supervisor has approved a 30-minute meal break, which is the minimum mandated by law for full-time employees, you must take and record a daily 1-hour meal break.  </t>
    </r>
    <r>
      <rPr>
        <i/>
        <sz val="14"/>
        <color indexed="8"/>
        <rFont val="Calibri"/>
        <family val="2"/>
      </rPr>
      <t>(Exception:  the 45-minute lunch break during the 4-day summer schedule)</t>
    </r>
    <r>
      <rPr>
        <sz val="14"/>
        <color indexed="8"/>
        <rFont val="Calibri"/>
        <family val="2"/>
      </rPr>
      <t xml:space="preserve">
    </t>
    </r>
    <r>
      <rPr>
        <i/>
        <sz val="14"/>
        <color indexed="8"/>
        <rFont val="Calibri"/>
        <family val="2"/>
      </rPr>
      <t>For example:</t>
    </r>
    <r>
      <rPr>
        <sz val="14"/>
        <color indexed="8"/>
        <rFont val="Calibri"/>
        <family val="2"/>
      </rPr>
      <t xml:space="preserve">   Time Out:  12:30 pm
                                 Time In:       1:30 pm
</t>
    </r>
    <r>
      <rPr>
        <b/>
        <sz val="14"/>
        <color indexed="8"/>
        <rFont val="Calibri"/>
        <family val="2"/>
      </rPr>
      <t>End Time:</t>
    </r>
    <r>
      <rPr>
        <sz val="14"/>
        <color indexed="8"/>
        <rFont val="Calibri"/>
        <family val="2"/>
      </rPr>
      <t xml:space="preserve">
-   Enter the time you left work in 15-minute increments.  For 4:30 pm, you should enter 
    "4:30 p". The timesheet will record 4:30 pm.  </t>
    </r>
  </si>
  <si>
    <t xml:space="preserve">Payroll Reference #:  </t>
  </si>
  <si>
    <t xml:space="preserve">CUNYfirst EmplID:  </t>
  </si>
  <si>
    <r>
      <rPr>
        <b/>
        <sz val="10"/>
        <color indexed="60"/>
        <rFont val="Arial"/>
        <family val="2"/>
      </rPr>
      <t>Hourly (Wee</t>
    </r>
    <r>
      <rPr>
        <b/>
        <sz val="10"/>
        <color indexed="60"/>
        <rFont val="Arial"/>
        <family val="2"/>
      </rPr>
      <t>kly) Timesh</t>
    </r>
    <r>
      <rPr>
        <b/>
        <sz val="10"/>
        <color indexed="60"/>
        <rFont val="Arial"/>
        <family val="2"/>
      </rPr>
      <t>eet</t>
    </r>
    <r>
      <rPr>
        <b/>
        <sz val="10"/>
        <color indexed="21"/>
        <rFont val="Arial"/>
        <family val="2"/>
      </rPr>
      <t xml:space="preserve"> - Where to find your CD #, JSN # and Payroll Reference #:</t>
    </r>
  </si>
  <si>
    <t>Where to find CD #, JSN # and Payroll Reference #</t>
  </si>
  <si>
    <t>CUNYCAP</t>
  </si>
  <si>
    <t>CUNY Art Model H</t>
  </si>
  <si>
    <t>HOURLY EMPLOYEE WEEKLY TIME REPORT</t>
  </si>
  <si>
    <t>Attached is a workbook with the Part-Time Hourly weekly timesheet in the current formats used at CUNY, however, some features have been added.
     ●  The title series and pay periods can be selected from a dropdown.
     ●  The dates for the period being reported should automatically populate.
     ●  You can enter times in the conventional way (e.g., "5:00 PM"; however, use the colon [ : ] between the hours and 
          minutes and a space between the time and AM or PM designation. 
     ●  Time must be recorded in 15 minute increments only.
     ●  While the authorized workday will be reflected at 7 hours, if additional hours over the standard are worked, it will 
          be reflected in the “Auth Use Only” columns.
     ●  Sick Leave, Annual Leave and Comp. Time, enter the number of hours taken, for example:
                    7.0     for 1 day 
                   3.25     for 3 hours and 15 minutes 
                   3.50     for 3 hours and 30 minutes 
                   3.75     for 3 hours and 45 minutes 
     ●  Unscheduled Holiday (UH) Leave, must be entered as a full day only</t>
  </si>
  <si>
    <t>Non Teaching Adjunct</t>
  </si>
  <si>
    <t>College Assistant TUTOR</t>
  </si>
  <si>
    <r>
      <rPr>
        <b/>
        <sz val="12"/>
        <rFont val="Calibri"/>
        <family val="2"/>
      </rPr>
      <t xml:space="preserve">NOTE:  </t>
    </r>
    <r>
      <rPr>
        <b/>
        <i/>
        <sz val="12"/>
        <rFont val="Calibri"/>
        <family val="2"/>
      </rPr>
      <t xml:space="preserve">An employee who works a daily shift of more than six (6) hours must take a break of at least 30 minutes within this period.
   </t>
    </r>
  </si>
  <si>
    <t>Hours Wrkd</t>
  </si>
  <si>
    <t>SUM(IF('Hourly (Weekly)'!D19&lt;'Hourly (Weekly)'!C19,'Hourly (Weekly)'!D19+1,'Hourly (Weekly)'!D19)-'Hourly (Weekly)'!C19,IF('Hourly (Weekly)'!F19&lt;'Hourly (Weekly)'!E19,'Hourly (Weekly)'!F19+1,'Hourly (Weekly)'!F19)-'Hourly (Weekly)'!E19)*24/24</t>
  </si>
  <si>
    <t>Hours Ent</t>
  </si>
  <si>
    <t>Mins Ent</t>
  </si>
  <si>
    <t>CUNY Time</t>
  </si>
  <si>
    <t>PreAdj</t>
  </si>
  <si>
    <t>FinalAdj</t>
  </si>
  <si>
    <t>Lunch</t>
  </si>
  <si>
    <t>HOUR(B27)</t>
  </si>
  <si>
    <t>MINUTE(B27)</t>
  </si>
  <si>
    <t>IF(D27&lt;=7,0,IF(AND(D27&gt;=8,D27&lt;=22),15,IF(AND(D27&gt;=23,D27&lt;=37),30,IF(AND(D27&gt;=38,D27&lt;=52),45,60))))</t>
  </si>
  <si>
    <t>C27&amp;":"&amp;E27</t>
  </si>
  <si>
    <t>TIME(C27,E27,0)*24/24</t>
  </si>
  <si>
    <t>CD #</t>
  </si>
  <si>
    <t xml:space="preserve">                                                 DATE</t>
  </si>
  <si>
    <t xml:space="preserve">       DATE</t>
  </si>
  <si>
    <t>CUNYfirst Record #</t>
  </si>
  <si>
    <t>Must be provided in order to process timesheet</t>
  </si>
  <si>
    <r>
      <t xml:space="preserve">Instructions
</t>
    </r>
    <r>
      <rPr>
        <sz val="11"/>
        <rFont val="Calibri"/>
        <family val="2"/>
      </rPr>
      <t xml:space="preserve">1.  Enter your </t>
    </r>
    <r>
      <rPr>
        <b/>
        <sz val="11"/>
        <rFont val="Calibri"/>
        <family val="2"/>
      </rPr>
      <t>CUNYfirst Record #</t>
    </r>
    <r>
      <rPr>
        <sz val="11"/>
        <rFont val="Calibri"/>
        <family val="2"/>
      </rPr>
      <t xml:space="preserve">
2.  Select your </t>
    </r>
    <r>
      <rPr>
        <b/>
        <sz val="11"/>
        <rFont val="Calibri"/>
        <family val="2"/>
      </rPr>
      <t>CD#</t>
    </r>
    <r>
      <rPr>
        <sz val="11"/>
        <rFont val="Calibri"/>
        <family val="2"/>
      </rPr>
      <t xml:space="preserve"> and </t>
    </r>
    <r>
      <rPr>
        <b/>
        <sz val="11"/>
        <rFont val="Calibri"/>
        <family val="2"/>
      </rPr>
      <t>JSN#</t>
    </r>
    <r>
      <rPr>
        <sz val="11"/>
        <rFont val="Calibri"/>
        <family val="2"/>
      </rPr>
      <t xml:space="preserve"> (</t>
    </r>
    <r>
      <rPr>
        <i/>
        <sz val="11"/>
        <rFont val="Calibri"/>
        <family val="2"/>
      </rPr>
      <t>found on your paystub</t>
    </r>
    <r>
      <rPr>
        <sz val="11"/>
        <rFont val="Calibri"/>
        <family val="2"/>
      </rPr>
      <t xml:space="preserve">)
2.  Select your </t>
    </r>
    <r>
      <rPr>
        <b/>
        <sz val="11"/>
        <rFont val="Calibri"/>
        <family val="2"/>
      </rPr>
      <t>Payroll Title</t>
    </r>
    <r>
      <rPr>
        <sz val="11"/>
        <rFont val="Calibri"/>
        <family val="2"/>
      </rPr>
      <t xml:space="preserve"> and </t>
    </r>
    <r>
      <rPr>
        <b/>
        <sz val="11"/>
        <rFont val="Calibri"/>
        <family val="2"/>
      </rPr>
      <t>Pay Period</t>
    </r>
    <r>
      <rPr>
        <sz val="11"/>
        <rFont val="Calibri"/>
        <family val="2"/>
      </rPr>
      <t xml:space="preserve"> from drop-down menu
4.  Enter the required information
5.  Save it (</t>
    </r>
    <r>
      <rPr>
        <b/>
        <i/>
        <sz val="11"/>
        <rFont val="Calibri"/>
        <family val="2"/>
      </rPr>
      <t>ex:</t>
    </r>
    <r>
      <rPr>
        <i/>
        <sz val="11"/>
        <rFont val="Calibri"/>
        <family val="2"/>
      </rPr>
      <t xml:space="preserve">  Week of 11-05-17 - 11-11-17</t>
    </r>
    <r>
      <rPr>
        <sz val="11"/>
        <rFont val="Calibri"/>
        <family val="2"/>
      </rPr>
      <t>)
6.  Print it &amp; Sign it (</t>
    </r>
    <r>
      <rPr>
        <i/>
        <sz val="11"/>
        <rFont val="Calibri"/>
        <family val="2"/>
      </rPr>
      <t>you &amp; your supervisor must sign</t>
    </r>
    <r>
      <rPr>
        <sz val="11"/>
        <rFont val="Calibri"/>
        <family val="2"/>
      </rPr>
      <t>)
7.  Send it to Payroll along with any forms or supporting documentation
     as necessary or required.</t>
    </r>
  </si>
  <si>
    <t>Start Time</t>
  </si>
  <si>
    <t>Lunch Out</t>
  </si>
  <si>
    <t>Lunch In</t>
  </si>
  <si>
    <t>End Time</t>
  </si>
  <si>
    <t>=IF(F3&lt; =TIME(10,0,0),"Prior",IF(F3&gt;=TIME(10,0,0),"After","0"))</t>
  </si>
  <si>
    <t xml:space="preserve">Check 
Ending Time </t>
  </si>
  <si>
    <t>Start Time
Before or After 6pm</t>
  </si>
  <si>
    <t>NSD Worked
(NSD - 
LunchBreak)</t>
  </si>
  <si>
    <t>Using This Table as of April 5, 2018</t>
  </si>
  <si>
    <t>Entitled to NSD?</t>
  </si>
  <si>
    <t>If Negative # =0</t>
  </si>
  <si>
    <t>NSD</t>
  </si>
  <si>
    <t>NSD-LunchBrk</t>
  </si>
  <si>
    <t>Eligible</t>
  </si>
  <si>
    <t>EOC Adjunct CLT</t>
  </si>
  <si>
    <t>EOC Adjunct Lecturer</t>
  </si>
  <si>
    <t>04601</t>
  </si>
  <si>
    <t>04604</t>
  </si>
  <si>
    <t>04841</t>
  </si>
  <si>
    <t>04625</t>
  </si>
  <si>
    <t>04780</t>
  </si>
  <si>
    <t>04861</t>
  </si>
  <si>
    <t>04832</t>
  </si>
  <si>
    <t>04614</t>
  </si>
  <si>
    <t>04716</t>
  </si>
  <si>
    <t>04865</t>
  </si>
  <si>
    <t>04689</t>
  </si>
  <si>
    <t>Hour</t>
  </si>
  <si>
    <t>MOD(E37-B37,1)*24-(E37&lt;B37)*(18-8)-MEDIAN(E37*24,8,18)+MEDIAN(B37*24,8,18)</t>
  </si>
  <si>
    <t>Summer Chair</t>
  </si>
  <si>
    <t>99999</t>
  </si>
  <si>
    <t>Summer Chair Deputy</t>
  </si>
  <si>
    <t>**When adding titles, modify Name Range under Formula; modify C60-C64 and L7 in the timesheet</t>
  </si>
  <si>
    <t xml:space="preserve">                           HEO Request for Overtime/Compensatory Time</t>
  </si>
  <si>
    <t xml:space="preserve">Third Mon in February </t>
  </si>
  <si>
    <t>IF(D37&gt;C37,D37-C37,D37+1-C37)</t>
  </si>
  <si>
    <r>
      <t xml:space="preserve">BIWeekly Timesheet Lookup Table </t>
    </r>
    <r>
      <rPr>
        <b/>
        <sz val="11"/>
        <color indexed="60"/>
        <rFont val="Arial"/>
        <family val="2"/>
      </rPr>
      <t xml:space="preserve"> (Dates are auto populated once timesheet period is selected.)</t>
    </r>
  </si>
  <si>
    <r>
      <t>Hourly Weekly TS Lookup Table</t>
    </r>
    <r>
      <rPr>
        <b/>
        <sz val="14"/>
        <color indexed="60"/>
        <rFont val="Calibri"/>
        <family val="2"/>
      </rPr>
      <t xml:space="preserve">  (Dates are auto populated once timesheet period is selected.)</t>
    </r>
  </si>
  <si>
    <r>
      <t xml:space="preserve">ECP TS Lookup Table </t>
    </r>
    <r>
      <rPr>
        <b/>
        <sz val="11"/>
        <color indexed="60"/>
        <rFont val="Arial"/>
        <family val="2"/>
      </rPr>
      <t xml:space="preserve"> (Dates are auto populated once timesheet period is selected.)</t>
    </r>
  </si>
  <si>
    <t>**Same as 2016-2017 CUNY Calendar</t>
  </si>
  <si>
    <t>**Same as 2017-2018 CUNY Calendar - 2 Extra Unscheduled Days</t>
  </si>
  <si>
    <t>Juneteenth Day</t>
  </si>
  <si>
    <t>Xmas Day Observed 12/27</t>
  </si>
  <si>
    <t>Unscheduled Day for 1/1/22</t>
  </si>
  <si>
    <t>Shif Diff. Start Time</t>
  </si>
  <si>
    <t>Shif Diff. EndTime</t>
  </si>
  <si>
    <t>IF((E37-$B$56)&gt;0,IF((E37-($B$56+1/24))&gt;0,(E37-$B$56)*24,0),0)-IF((D37-$B$56)&gt;0,IF((E37-($B$56+1/24))&gt;0,(D37-$B$56)*24,0),0)+IF(AND((B37-$B$57)&lt;0,(C37-$B$57)&gt;0),IF(AND((B37-$B$57)&lt;0,(C37-$B$57)&lt;0),($B$57-B37)*24+(C37-$B$57)*24,($B$57-B37)*24),IF(AND((B37-$B$57)&lt;0,(C37-$B$57)&lt;0),IF(AND((D37-$B$57)&lt;0,(E37-$B$57)&lt;=0),(C37-B37)*24+(E37-D37)*24,(C37-B37)*24),0))</t>
  </si>
  <si>
    <t>Unscheduled Day for 1/1/23</t>
  </si>
  <si>
    <r>
      <t xml:space="preserve">Update </t>
    </r>
    <r>
      <rPr>
        <b/>
        <sz val="10"/>
        <rFont val="Arial"/>
        <family val="2"/>
      </rPr>
      <t>Cell C10</t>
    </r>
    <r>
      <rPr>
        <sz val="10"/>
        <rFont val="Arial"/>
        <family val="2"/>
      </rPr>
      <t xml:space="preserve"> in </t>
    </r>
    <r>
      <rPr>
        <b/>
        <sz val="10"/>
        <rFont val="Arial"/>
        <family val="2"/>
      </rPr>
      <t>ECP TS</t>
    </r>
    <r>
      <rPr>
        <sz val="10"/>
        <rFont val="Arial"/>
        <family val="2"/>
      </rPr>
      <t xml:space="preserve"> to pick up dates on this page (Range is B3-B86)</t>
    </r>
  </si>
  <si>
    <t>Formula:  VLOOKUP(R4,'Monthly TS Periods'!A3:B86,2,)</t>
  </si>
  <si>
    <t>Change Beginning Date</t>
  </si>
  <si>
    <t>Change Date Here</t>
  </si>
  <si>
    <t>Next Time it should be 12/20/2026</t>
  </si>
  <si>
    <t>Next Time it should be 12/27/2026</t>
  </si>
  <si>
    <t>Fall on Saturday - To Be Observed???</t>
  </si>
  <si>
    <t>As you add calendar year, you need to change range (2026 is column M)</t>
  </si>
  <si>
    <r>
      <t>IF(A20="","",IF(COUNTIF($C$3:$</t>
    </r>
    <r>
      <rPr>
        <i/>
        <sz val="10"/>
        <color indexed="60"/>
        <rFont val="Calibri"/>
        <family val="2"/>
      </rPr>
      <t>M</t>
    </r>
    <r>
      <rPr>
        <i/>
        <sz val="10"/>
        <rFont val="Calibri"/>
        <family val="2"/>
      </rPr>
      <t>$16,A20),"Holiday",""))</t>
    </r>
  </si>
  <si>
    <t>Biweekly (Full-Time NonTeach)</t>
  </si>
  <si>
    <t xml:space="preserve">Comments by Employee: 
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</si>
</sst>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h:mm\ AM/PM;@"/>
    <numFmt numFmtId="166" formatCode="[$-F800]dddd\,\ mmmm\ dd\,\ yyyy"/>
    <numFmt numFmtId="167" formatCode="m/d/yy;@"/>
    <numFmt numFmtId="168" formatCode="[$-409]mmmm\-yy;@"/>
    <numFmt numFmtId="169" formatCode="m/d/yyyy;@"/>
    <numFmt numFmtId="170" formatCode="dddd"/>
    <numFmt numFmtId="171" formatCode="[$-409]mmmm\ d\,\ yyyy;@"/>
    <numFmt numFmtId="172" formatCode="0000"/>
    <numFmt numFmtId="173" formatCode="00000"/>
    <numFmt numFmtId="174" formatCode="[$-409]dddd\,\ mmmm\ dd\,\ yyyy"/>
    <numFmt numFmtId="175" formatCode="[$-409]dddd\,\ mmmm\ 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F400]h:mm:ss\ AM/PM"/>
    <numFmt numFmtId="182" formatCode="h:mm;@"/>
    <numFmt numFmtId="183" formatCode="0.0"/>
    <numFmt numFmtId="184" formatCode="0.000"/>
    <numFmt numFmtId="185" formatCode="0.00000000000000"/>
    <numFmt numFmtId="186" formatCode="[h]:mm"/>
    <numFmt numFmtId="187" formatCode="[$-409]mmmm\ yyyy;@"/>
    <numFmt numFmtId="188" formatCode="[$-409]mmmm\,\ yyyy;@"/>
    <numFmt numFmtId="189" formatCode="[hh]:mm"/>
    <numFmt numFmtId="190" formatCode="[$-F800]ddd\,\ mmm\ dd\,\ yy"/>
    <numFmt numFmtId="191" formatCode="ddd\,\ m/d/yy;@"/>
    <numFmt numFmtId="192" formatCode="ddd\,\ m/d;@"/>
    <numFmt numFmtId="193" formatCode="dddd\,\ m/d;@"/>
    <numFmt numFmtId="194" formatCode="mm"/>
    <numFmt numFmtId="195" formatCode=".00"/>
    <numFmt numFmtId="196" formatCode="[h]:mm:ss;@"/>
    <numFmt numFmtId="197" formatCode="0.000000"/>
    <numFmt numFmtId="198" formatCode="0.0000000"/>
    <numFmt numFmtId="199" formatCode="0.00000"/>
    <numFmt numFmtId="200" formatCode="0.0000"/>
    <numFmt numFmtId="201" formatCode="&quot;$&quot;#,##0.00"/>
    <numFmt numFmtId="202" formatCode="0.0000000000"/>
    <numFmt numFmtId="203" formatCode="0.000000000"/>
    <numFmt numFmtId="204" formatCode="0.00000000"/>
    <numFmt numFmtId="205" formatCode="mmm\-yyyy"/>
    <numFmt numFmtId="206" formatCode="hh:mm"/>
  </numFmts>
  <fonts count="203">
    <font>
      <sz val="10"/>
      <name val="Arial"/>
      <family val="0"/>
    </font>
    <font>
      <sz val="11"/>
      <color indexed="8"/>
      <name val="Century Gothic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i/>
      <sz val="10"/>
      <name val="Arial"/>
      <family val="2"/>
    </font>
    <font>
      <sz val="8"/>
      <color indexed="8"/>
      <name val="Segoe U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vertAlign val="subscript"/>
      <sz val="10"/>
      <name val="Arial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9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vertAlign val="superscript"/>
      <sz val="11"/>
      <name val="Calibri"/>
      <family val="2"/>
    </font>
    <font>
      <sz val="10"/>
      <name val="Arial Narrow"/>
      <family val="2"/>
    </font>
    <font>
      <u val="single"/>
      <sz val="10"/>
      <name val="Calibri"/>
      <family val="2"/>
    </font>
    <font>
      <vertAlign val="subscript"/>
      <sz val="10"/>
      <name val="Calibri"/>
      <family val="2"/>
    </font>
    <font>
      <b/>
      <vertAlign val="subscript"/>
      <sz val="12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</font>
    <font>
      <b/>
      <i/>
      <vertAlign val="subscript"/>
      <sz val="11"/>
      <name val="Calibri"/>
      <family val="2"/>
    </font>
    <font>
      <sz val="9"/>
      <name val="Tahoma"/>
      <family val="2"/>
    </font>
    <font>
      <b/>
      <sz val="16"/>
      <name val="Calibri"/>
      <family val="2"/>
    </font>
    <font>
      <b/>
      <vertAlign val="subscript"/>
      <sz val="14"/>
      <name val="Calibri"/>
      <family val="2"/>
    </font>
    <font>
      <sz val="10"/>
      <color indexed="18"/>
      <name val="Arial Narrow"/>
      <family val="2"/>
    </font>
    <font>
      <b/>
      <i/>
      <sz val="8"/>
      <name val="Calibri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9"/>
      <name val="Tahoma"/>
      <family val="2"/>
    </font>
    <font>
      <i/>
      <sz val="11"/>
      <name val="Calibri"/>
      <family val="2"/>
    </font>
    <font>
      <b/>
      <i/>
      <u val="single"/>
      <sz val="10"/>
      <color indexed="60"/>
      <name val="Calibri"/>
      <family val="2"/>
    </font>
    <font>
      <b/>
      <i/>
      <sz val="14"/>
      <name val="Calibri"/>
      <family val="2"/>
    </font>
    <font>
      <b/>
      <sz val="11"/>
      <name val="Arial"/>
      <family val="2"/>
    </font>
    <font>
      <b/>
      <vertAlign val="subscript"/>
      <sz val="11"/>
      <name val="Calibri"/>
      <family val="2"/>
    </font>
    <font>
      <u val="single"/>
      <sz val="11"/>
      <color indexed="39"/>
      <name val="Calibri"/>
      <family val="2"/>
    </font>
    <font>
      <b/>
      <sz val="10"/>
      <color indexed="60"/>
      <name val="Arial"/>
      <family val="2"/>
    </font>
    <font>
      <b/>
      <sz val="10"/>
      <color indexed="21"/>
      <name val="Arial"/>
      <family val="2"/>
    </font>
    <font>
      <b/>
      <i/>
      <sz val="1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name val="Calibri"/>
      <family val="2"/>
    </font>
    <font>
      <b/>
      <u val="single"/>
      <sz val="9"/>
      <name val="Calibri"/>
      <family val="2"/>
    </font>
    <font>
      <b/>
      <i/>
      <u val="single"/>
      <sz val="9"/>
      <name val="Calibri"/>
      <family val="2"/>
    </font>
    <font>
      <i/>
      <sz val="9"/>
      <name val="Tahoma"/>
      <family val="2"/>
    </font>
    <font>
      <b/>
      <i/>
      <sz val="9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b/>
      <sz val="9"/>
      <name val="Arial"/>
      <family val="2"/>
    </font>
    <font>
      <b/>
      <sz val="11"/>
      <color indexed="60"/>
      <name val="Arial"/>
      <family val="2"/>
    </font>
    <font>
      <b/>
      <sz val="14"/>
      <color indexed="60"/>
      <name val="Calibri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i/>
      <sz val="10"/>
      <color indexed="60"/>
      <name val="Calibri"/>
      <family val="2"/>
    </font>
    <font>
      <sz val="11"/>
      <color indexed="9"/>
      <name val="Century Gothic"/>
      <family val="2"/>
    </font>
    <font>
      <sz val="11"/>
      <color indexed="36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u val="single"/>
      <sz val="10"/>
      <color indexed="36"/>
      <name val="Arial"/>
      <family val="2"/>
    </font>
    <font>
      <sz val="11"/>
      <color indexed="21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u val="single"/>
      <sz val="10"/>
      <color indexed="39"/>
      <name val="Arial"/>
      <family val="2"/>
    </font>
    <font>
      <sz val="11"/>
      <color indexed="19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b/>
      <sz val="18"/>
      <color indexed="56"/>
      <name val="Century Gothic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b/>
      <sz val="14"/>
      <color indexed="21"/>
      <name val="Century Gothic"/>
      <family val="2"/>
    </font>
    <font>
      <b/>
      <i/>
      <sz val="11"/>
      <color indexed="8"/>
      <name val="Century Gothic"/>
      <family val="2"/>
    </font>
    <font>
      <b/>
      <i/>
      <vertAlign val="superscript"/>
      <sz val="10"/>
      <name val="Century Gothic"/>
      <family val="2"/>
    </font>
    <font>
      <sz val="11"/>
      <color indexed="21"/>
      <name val="Calibri"/>
      <family val="2"/>
    </font>
    <font>
      <b/>
      <sz val="14"/>
      <color indexed="21"/>
      <name val="Calibri"/>
      <family val="2"/>
    </font>
    <font>
      <sz val="10"/>
      <color indexed="21"/>
      <name val="Calibri"/>
      <family val="2"/>
    </font>
    <font>
      <b/>
      <sz val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i/>
      <sz val="10"/>
      <color indexed="57"/>
      <name val="Arial"/>
      <family val="2"/>
    </font>
    <font>
      <b/>
      <i/>
      <sz val="8"/>
      <color indexed="60"/>
      <name val="Calibri"/>
      <family val="2"/>
    </font>
    <font>
      <b/>
      <sz val="11"/>
      <name val="Century Gothic"/>
      <family val="2"/>
    </font>
    <font>
      <b/>
      <i/>
      <sz val="9"/>
      <color indexed="60"/>
      <name val="Calibri"/>
      <family val="2"/>
    </font>
    <font>
      <b/>
      <i/>
      <sz val="10"/>
      <name val="Century Gothic"/>
      <family val="2"/>
    </font>
    <font>
      <sz val="10"/>
      <color indexed="9"/>
      <name val="Calibri"/>
      <family val="2"/>
    </font>
    <font>
      <b/>
      <sz val="16"/>
      <name val="Century Gothic"/>
      <family val="2"/>
    </font>
    <font>
      <sz val="10"/>
      <color indexed="60"/>
      <name val="Century Gothic"/>
      <family val="2"/>
    </font>
    <font>
      <b/>
      <i/>
      <sz val="10"/>
      <color indexed="60"/>
      <name val="Calibri"/>
      <family val="2"/>
    </font>
    <font>
      <b/>
      <sz val="10"/>
      <color indexed="60"/>
      <name val="Century Gothic"/>
      <family val="2"/>
    </font>
    <font>
      <b/>
      <sz val="24"/>
      <color indexed="21"/>
      <name val="Calibri"/>
      <family val="2"/>
    </font>
    <font>
      <sz val="10"/>
      <color indexed="21"/>
      <name val="Arial"/>
      <family val="2"/>
    </font>
    <font>
      <b/>
      <sz val="18"/>
      <color indexed="21"/>
      <name val="Calibri"/>
      <family val="2"/>
    </font>
    <font>
      <b/>
      <sz val="8"/>
      <color indexed="60"/>
      <name val="Calibri"/>
      <family val="2"/>
    </font>
    <font>
      <b/>
      <sz val="12"/>
      <color indexed="60"/>
      <name val="Calibri"/>
      <family val="2"/>
    </font>
    <font>
      <b/>
      <sz val="14"/>
      <color indexed="8"/>
      <name val="Century Gothic"/>
      <family val="2"/>
    </font>
    <font>
      <sz val="9"/>
      <color indexed="63"/>
      <name val="Arial"/>
      <family val="2"/>
    </font>
    <font>
      <sz val="10"/>
      <color indexed="10"/>
      <name val="Arial"/>
      <family val="2"/>
    </font>
    <font>
      <sz val="10"/>
      <color indexed="63"/>
      <name val="Verdana"/>
      <family val="2"/>
    </font>
    <font>
      <sz val="11"/>
      <color indexed="8"/>
      <name val="Arial"/>
      <family val="2"/>
    </font>
    <font>
      <sz val="12"/>
      <color indexed="62"/>
      <name val="Calibri"/>
      <family val="2"/>
    </font>
    <font>
      <b/>
      <i/>
      <sz val="18"/>
      <color indexed="60"/>
      <name val="Calibri"/>
      <family val="2"/>
    </font>
    <font>
      <sz val="8"/>
      <color indexed="63"/>
      <name val="Consolas"/>
      <family val="3"/>
    </font>
    <font>
      <b/>
      <sz val="12"/>
      <color indexed="62"/>
      <name val="Calibri"/>
      <family val="2"/>
    </font>
    <font>
      <b/>
      <sz val="9"/>
      <name val="Century Gothic"/>
      <family val="2"/>
    </font>
    <font>
      <b/>
      <sz val="10"/>
      <color indexed="10"/>
      <name val="Arial"/>
      <family val="2"/>
    </font>
    <font>
      <i/>
      <sz val="10"/>
      <color indexed="60"/>
      <name val="Arial"/>
      <family val="2"/>
    </font>
    <font>
      <sz val="11"/>
      <color indexed="10"/>
      <name val="Calibri"/>
      <family val="2"/>
    </font>
    <font>
      <sz val="9"/>
      <color indexed="60"/>
      <name val="Calibri"/>
      <family val="2"/>
    </font>
    <font>
      <sz val="10"/>
      <color indexed="10"/>
      <name val="Calibri"/>
      <family val="2"/>
    </font>
    <font>
      <sz val="10"/>
      <color indexed="60"/>
      <name val="Arial"/>
      <family val="2"/>
    </font>
    <font>
      <b/>
      <sz val="10"/>
      <color indexed="60"/>
      <name val="Calibri"/>
      <family val="2"/>
    </font>
    <font>
      <b/>
      <sz val="11"/>
      <color indexed="60"/>
      <name val="Calibri"/>
      <family val="2"/>
    </font>
    <font>
      <sz val="10"/>
      <color indexed="60"/>
      <name val="Calibri"/>
      <family val="2"/>
    </font>
    <font>
      <b/>
      <sz val="11"/>
      <color indexed="60"/>
      <name val="Century Gothic"/>
      <family val="2"/>
    </font>
    <font>
      <b/>
      <sz val="10"/>
      <color indexed="9"/>
      <name val="Century Gothic"/>
      <family val="2"/>
    </font>
    <font>
      <sz val="10"/>
      <color indexed="39"/>
      <name val="Arial"/>
      <family val="2"/>
    </font>
    <font>
      <b/>
      <sz val="12"/>
      <color indexed="9"/>
      <name val="Calibri"/>
      <family val="2"/>
    </font>
    <font>
      <b/>
      <sz val="12"/>
      <color indexed="23"/>
      <name val="Calibri"/>
      <family val="2"/>
    </font>
    <font>
      <b/>
      <sz val="18"/>
      <color indexed="9"/>
      <name val="Arial"/>
      <family val="2"/>
    </font>
    <font>
      <b/>
      <strike/>
      <sz val="18"/>
      <color indexed="9"/>
      <name val="Arial"/>
      <family val="2"/>
    </font>
    <font>
      <sz val="8"/>
      <name val="Segoe UI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u val="single"/>
      <sz val="10"/>
      <color theme="11"/>
      <name val="Arial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u val="single"/>
      <sz val="10"/>
      <color theme="10"/>
      <name val="Arial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4"/>
      <color rgb="FF006100"/>
      <name val="Century Gothic"/>
      <family val="2"/>
    </font>
    <font>
      <b/>
      <i/>
      <sz val="11"/>
      <color theme="1"/>
      <name val="Century Gothic"/>
      <family val="2"/>
    </font>
    <font>
      <sz val="11"/>
      <color rgb="FF006100"/>
      <name val="Calibri"/>
      <family val="2"/>
    </font>
    <font>
      <b/>
      <sz val="14"/>
      <color rgb="FF006100"/>
      <name val="Calibri"/>
      <family val="2"/>
    </font>
    <font>
      <sz val="10"/>
      <color rgb="FF006100"/>
      <name val="Calibri"/>
      <family val="2"/>
    </font>
    <font>
      <b/>
      <i/>
      <sz val="10"/>
      <color theme="6" tint="-0.4999699890613556"/>
      <name val="Arial"/>
      <family val="2"/>
    </font>
    <font>
      <b/>
      <i/>
      <sz val="8"/>
      <color rgb="FFC00000"/>
      <name val="Calibri"/>
      <family val="2"/>
    </font>
    <font>
      <b/>
      <i/>
      <sz val="9"/>
      <color rgb="FFC00000"/>
      <name val="Calibri"/>
      <family val="2"/>
    </font>
    <font>
      <sz val="10"/>
      <color theme="0"/>
      <name val="Calibri"/>
      <family val="2"/>
    </font>
    <font>
      <sz val="10"/>
      <color rgb="FFC00000"/>
      <name val="Century Gothic"/>
      <family val="2"/>
    </font>
    <font>
      <b/>
      <i/>
      <sz val="10"/>
      <color rgb="FFC00000"/>
      <name val="Calibri"/>
      <family val="2"/>
    </font>
    <font>
      <b/>
      <sz val="10"/>
      <color rgb="FFC00000"/>
      <name val="Century Gothic"/>
      <family val="2"/>
    </font>
    <font>
      <b/>
      <sz val="24"/>
      <color rgb="FF003300"/>
      <name val="Calibri"/>
      <family val="2"/>
    </font>
    <font>
      <sz val="10"/>
      <color rgb="FF003300"/>
      <name val="Arial"/>
      <family val="2"/>
    </font>
    <font>
      <b/>
      <sz val="18"/>
      <color rgb="FF003300"/>
      <name val="Calibri"/>
      <family val="2"/>
    </font>
    <font>
      <b/>
      <sz val="8"/>
      <color rgb="FFC00000"/>
      <name val="Calibri"/>
      <family val="2"/>
    </font>
    <font>
      <b/>
      <sz val="12"/>
      <color rgb="FFC00000"/>
      <name val="Calibri"/>
      <family val="2"/>
    </font>
    <font>
      <b/>
      <sz val="14"/>
      <color theme="1"/>
      <name val="Century Gothic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rgb="FF353A3D"/>
      <name val="Arial"/>
      <family val="2"/>
    </font>
    <font>
      <sz val="10"/>
      <color rgb="FFFF0000"/>
      <name val="Arial"/>
      <family val="2"/>
    </font>
    <font>
      <sz val="10"/>
      <color rgb="FF333333"/>
      <name val="Verdana"/>
      <family val="2"/>
    </font>
    <font>
      <b/>
      <sz val="10"/>
      <color rgb="FF003300"/>
      <name val="Arial"/>
      <family val="2"/>
    </font>
    <font>
      <sz val="11"/>
      <color rgb="FF141414"/>
      <name val="Arial"/>
      <family val="2"/>
    </font>
    <font>
      <sz val="12"/>
      <color rgb="FFEDF7F9"/>
      <name val="Calibri"/>
      <family val="2"/>
    </font>
    <font>
      <b/>
      <i/>
      <sz val="18"/>
      <color rgb="FF993300"/>
      <name val="Calibri"/>
      <family val="2"/>
    </font>
    <font>
      <sz val="8"/>
      <color rgb="FF555555"/>
      <name val="Consolas"/>
      <family val="3"/>
    </font>
    <font>
      <b/>
      <sz val="12"/>
      <color theme="0" tint="-0.04997999966144562"/>
      <name val="Calibri"/>
      <family val="2"/>
    </font>
    <font>
      <b/>
      <sz val="10"/>
      <color rgb="FFFF0000"/>
      <name val="Arial"/>
      <family val="2"/>
    </font>
    <font>
      <i/>
      <sz val="10"/>
      <color rgb="FFC00000"/>
      <name val="Arial"/>
      <family val="2"/>
    </font>
    <font>
      <sz val="11"/>
      <color rgb="FFFF0000"/>
      <name val="Calibri"/>
      <family val="2"/>
    </font>
    <font>
      <sz val="9"/>
      <color rgb="FFC00000"/>
      <name val="Calibri"/>
      <family val="2"/>
    </font>
    <font>
      <sz val="10"/>
      <color rgb="FFFF0000"/>
      <name val="Calibri"/>
      <family val="2"/>
    </font>
    <font>
      <sz val="10"/>
      <color rgb="FFC00000"/>
      <name val="Arial"/>
      <family val="2"/>
    </font>
    <font>
      <b/>
      <sz val="10"/>
      <color rgb="FFC00000"/>
      <name val="Calibri"/>
      <family val="2"/>
    </font>
    <font>
      <b/>
      <sz val="11"/>
      <color rgb="FFC00000"/>
      <name val="Calibri"/>
      <family val="2"/>
    </font>
    <font>
      <sz val="10"/>
      <color rgb="FFC00000"/>
      <name val="Calibri"/>
      <family val="2"/>
    </font>
    <font>
      <b/>
      <sz val="11"/>
      <color rgb="FFC00000"/>
      <name val="Century Gothic"/>
      <family val="2"/>
    </font>
    <font>
      <b/>
      <sz val="10"/>
      <color theme="0"/>
      <name val="Century Gothic"/>
      <family val="2"/>
    </font>
    <font>
      <u val="single"/>
      <sz val="11"/>
      <color theme="10"/>
      <name val="Calibri"/>
      <family val="2"/>
    </font>
    <font>
      <b/>
      <sz val="12"/>
      <color theme="0"/>
      <name val="Calibri"/>
      <family val="2"/>
    </font>
    <font>
      <sz val="10"/>
      <color theme="10"/>
      <name val="Arial"/>
      <family val="2"/>
    </font>
    <font>
      <b/>
      <sz val="12"/>
      <color theme="0" tint="-0.3499799966812134"/>
      <name val="Calibri"/>
      <family val="2"/>
    </font>
    <font>
      <b/>
      <sz val="18"/>
      <color theme="0"/>
      <name val="Arial"/>
      <family val="2"/>
    </font>
    <font>
      <b/>
      <strike/>
      <sz val="18"/>
      <color theme="0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8F3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CFAF2"/>
        <bgColor indexed="64"/>
      </patternFill>
    </fill>
    <fill>
      <patternFill patternType="solid">
        <fgColor indexed="44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>
        <color theme="1" tint="0.49998000264167786"/>
      </right>
      <top style="medium"/>
      <bottom style="thin">
        <color theme="1" tint="0.49998000264167786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theme="1" tint="0.49998000264167786"/>
      </left>
      <right style="thick"/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/>
      <right style="thick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>
        <color theme="1" tint="0.49998000264167786"/>
      </right>
      <top style="medium"/>
      <bottom style="thin"/>
    </border>
    <border>
      <left style="thin">
        <color theme="1" tint="0.49998000264167786"/>
      </left>
      <right style="thin">
        <color theme="1" tint="0.49998000264167786"/>
      </right>
      <top style="medium"/>
      <bottom style="thin"/>
    </border>
    <border>
      <left style="thin">
        <color theme="1" tint="0.49998000264167786"/>
      </left>
      <right/>
      <top style="medium"/>
      <bottom style="thin"/>
    </border>
    <border>
      <left style="thin">
        <color theme="1" tint="0.49998000264167786"/>
      </left>
      <right style="medium"/>
      <top style="medium"/>
      <bottom style="thin"/>
    </border>
    <border>
      <left>
        <color indexed="63"/>
      </left>
      <right style="thin">
        <color theme="1" tint="0.49998000264167786"/>
      </right>
      <top style="medium"/>
      <bottom style="thin"/>
    </border>
    <border>
      <left style="medium"/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>
        <color theme="1" tint="0.49998000264167786"/>
      </left>
      <right style="thick"/>
      <top style="thin"/>
      <bottom style="medium"/>
    </border>
    <border>
      <left style="thin">
        <color theme="1" tint="0.49998000264167786"/>
      </left>
      <right style="thin">
        <color theme="1" tint="0.49998000264167786"/>
      </right>
      <top style="thin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>
        <color theme="0" tint="-0.04997999966144562"/>
      </right>
      <top>
        <color indexed="63"/>
      </top>
      <bottom>
        <color indexed="63"/>
      </bottom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DashDot"/>
      <top style="thin">
        <color theme="1" tint="0.49998000264167786"/>
      </top>
      <bottom style="thin">
        <color theme="1" tint="0.49998000264167786"/>
      </bottom>
    </border>
    <border>
      <left style="mediumDashDot"/>
      <right style="medium"/>
      <top style="thin">
        <color theme="1" tint="0.49998000264167786"/>
      </top>
      <bottom style="thin">
        <color theme="1" tint="0.49998000264167786"/>
      </bottom>
    </border>
    <border>
      <left style="mediumDashDot"/>
      <right style="medium"/>
      <top>
        <color indexed="63"/>
      </top>
      <bottom style="thin">
        <color theme="1" tint="0.49998000264167786"/>
      </bottom>
    </border>
    <border>
      <left style="thin"/>
      <right style="mediumDashDot"/>
      <top style="thin"/>
      <bottom style="medium">
        <color theme="1"/>
      </bottom>
    </border>
    <border>
      <left style="mediumDashDot"/>
      <right style="medium"/>
      <top style="thin"/>
      <bottom style="medium"/>
    </border>
    <border>
      <left style="thin"/>
      <right style="mediumDashDot"/>
      <top style="thin"/>
      <bottom style="medium"/>
    </border>
    <border>
      <left/>
      <right style="thin"/>
      <top style="thin"/>
      <bottom style="medium"/>
    </border>
    <border>
      <left style="mediumDashDot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ck"/>
      <bottom style="thin"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ck"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ck"/>
      <top style="thin">
        <color theme="1" tint="0.49998000264167786"/>
      </top>
      <bottom>
        <color indexed="63"/>
      </bottom>
    </border>
    <border>
      <left style="thin">
        <color theme="0" tint="-0.04997999966144562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/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/>
      <right style="mediumDashDot"/>
      <top style="medium"/>
      <bottom style="medium"/>
    </border>
    <border>
      <left>
        <color indexed="63"/>
      </left>
      <right style="thin"/>
      <top style="dotted"/>
      <bottom style="dotted"/>
    </border>
    <border>
      <left style="medium"/>
      <right style="medium"/>
      <top>
        <color indexed="63"/>
      </top>
      <bottom style="thin">
        <color theme="1" tint="0.49998000264167786"/>
      </bottom>
    </border>
    <border>
      <left style="medium"/>
      <right style="medium"/>
      <top style="thin">
        <color theme="1" tint="0.49998000264167786"/>
      </top>
      <bottom style="thin">
        <color theme="1" tint="0.49998000264167786"/>
      </bottom>
    </border>
    <border>
      <left style="medium"/>
      <right style="medium"/>
      <top style="thin">
        <color theme="1" tint="0.49998000264167786"/>
      </top>
      <bottom style="medium"/>
    </border>
    <border>
      <left style="thin">
        <color theme="1" tint="0.49998000264167786"/>
      </left>
      <right style="medium"/>
      <top style="thin"/>
      <bottom>
        <color indexed="63"/>
      </bottom>
    </border>
    <border>
      <left style="thin">
        <color theme="1" tint="0.49998000264167786"/>
      </left>
      <right style="medium"/>
      <top>
        <color indexed="63"/>
      </top>
      <bottom>
        <color indexed="63"/>
      </bottom>
    </border>
    <border>
      <left style="thin">
        <color theme="1" tint="0.49998000264167786"/>
      </left>
      <right style="medium"/>
      <top>
        <color indexed="63"/>
      </top>
      <bottom style="medium"/>
    </border>
    <border>
      <left style="medium"/>
      <right style="thick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thin">
        <color theme="1" tint="0.49998000264167786"/>
      </bottom>
    </border>
    <border>
      <left style="thin"/>
      <right style="medium"/>
      <top style="medium"/>
      <bottom style="thin">
        <color theme="1" tint="0.49998000264167786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>
        <color theme="1" tint="0.49998000264167786"/>
      </left>
      <right/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/>
      <right style="thin"/>
      <top/>
      <bottom style="medium"/>
    </border>
    <border>
      <left style="thick"/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 style="thin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 style="medium"/>
      <top style="medium"/>
      <bottom style="thin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29" borderId="0" applyNumberFormat="0" applyBorder="0" applyAlignment="0" applyProtection="0"/>
    <xf numFmtId="0" fontId="144" fillId="0" borderId="3" applyNumberFormat="0" applyFill="0" applyAlignment="0" applyProtection="0"/>
    <xf numFmtId="0" fontId="145" fillId="0" borderId="4" applyNumberFormat="0" applyFill="0" applyAlignment="0" applyProtection="0"/>
    <xf numFmtId="0" fontId="146" fillId="0" borderId="5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30" borderId="1" applyNumberFormat="0" applyAlignment="0" applyProtection="0"/>
    <xf numFmtId="0" fontId="149" fillId="0" borderId="6" applyNumberFormat="0" applyFill="0" applyAlignment="0" applyProtection="0"/>
    <xf numFmtId="0" fontId="1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151" fillId="27" borderId="8" applyNumberFormat="0" applyAlignment="0" applyProtection="0"/>
    <xf numFmtId="9" fontId="0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</cellStyleXfs>
  <cellXfs count="78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" fontId="5" fillId="0" borderId="0" xfId="0" applyNumberFormat="1" applyFont="1" applyAlignment="1">
      <alignment vertical="center"/>
    </xf>
    <xf numFmtId="16" fontId="5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indent="1"/>
    </xf>
    <xf numFmtId="16" fontId="0" fillId="0" borderId="0" xfId="0" applyNumberFormat="1" applyFont="1" applyAlignment="1">
      <alignment horizontal="left" vertical="center" indent="1"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43" fillId="29" borderId="0" xfId="49" applyAlignment="1">
      <alignment/>
    </xf>
    <xf numFmtId="164" fontId="143" fillId="29" borderId="0" xfId="49" applyNumberFormat="1" applyAlignment="1">
      <alignment/>
    </xf>
    <xf numFmtId="0" fontId="143" fillId="29" borderId="10" xfId="49" applyBorder="1" applyAlignment="1">
      <alignment/>
    </xf>
    <xf numFmtId="0" fontId="143" fillId="29" borderId="11" xfId="49" applyBorder="1" applyAlignment="1">
      <alignment/>
    </xf>
    <xf numFmtId="14" fontId="143" fillId="29" borderId="11" xfId="49" applyNumberFormat="1" applyBorder="1" applyAlignment="1">
      <alignment vertical="center"/>
    </xf>
    <xf numFmtId="167" fontId="143" fillId="29" borderId="11" xfId="49" applyNumberFormat="1" applyBorder="1" applyAlignment="1">
      <alignment/>
    </xf>
    <xf numFmtId="0" fontId="143" fillId="29" borderId="12" xfId="49" applyBorder="1" applyAlignment="1">
      <alignment/>
    </xf>
    <xf numFmtId="0" fontId="143" fillId="29" borderId="13" xfId="49" applyBorder="1" applyAlignment="1">
      <alignment vertical="center"/>
    </xf>
    <xf numFmtId="167" fontId="143" fillId="29" borderId="13" xfId="49" applyNumberFormat="1" applyBorder="1" applyAlignment="1">
      <alignment/>
    </xf>
    <xf numFmtId="0" fontId="143" fillId="29" borderId="14" xfId="49" applyBorder="1" applyAlignment="1">
      <alignment/>
    </xf>
    <xf numFmtId="14" fontId="155" fillId="29" borderId="10" xfId="49" applyNumberFormat="1" applyFont="1" applyBorder="1" applyAlignment="1">
      <alignment vertical="center"/>
    </xf>
    <xf numFmtId="0" fontId="0" fillId="33" borderId="0" xfId="0" applyFill="1" applyAlignment="1">
      <alignment horizontal="center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wrapText="1"/>
      <protection locked="0"/>
    </xf>
    <xf numFmtId="1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53" fillId="0" borderId="0" xfId="0" applyFont="1" applyAlignment="1">
      <alignment horizontal="center"/>
    </xf>
    <xf numFmtId="0" fontId="87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Font="1" applyAlignment="1">
      <alignment/>
    </xf>
    <xf numFmtId="0" fontId="0" fillId="33" borderId="0" xfId="0" applyFont="1" applyFill="1" applyAlignment="1">
      <alignment horizontal="center" vertical="center"/>
    </xf>
    <xf numFmtId="167" fontId="157" fillId="0" borderId="0" xfId="49" applyNumberFormat="1" applyFont="1" applyFill="1" applyBorder="1" applyAlignment="1">
      <alignment/>
    </xf>
    <xf numFmtId="0" fontId="157" fillId="0" borderId="0" xfId="49" applyFont="1" applyFill="1" applyBorder="1" applyAlignment="1">
      <alignment/>
    </xf>
    <xf numFmtId="0" fontId="157" fillId="0" borderId="0" xfId="49" applyFont="1" applyFill="1" applyBorder="1" applyAlignment="1">
      <alignment vertical="center"/>
    </xf>
    <xf numFmtId="0" fontId="6" fillId="0" borderId="0" xfId="0" applyFont="1" applyAlignment="1">
      <alignment horizontal="center"/>
    </xf>
    <xf numFmtId="169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168" fontId="6" fillId="34" borderId="15" xfId="0" applyNumberFormat="1" applyFont="1" applyFill="1" applyBorder="1" applyAlignment="1">
      <alignment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157" fillId="29" borderId="10" xfId="49" applyFont="1" applyBorder="1" applyAlignment="1">
      <alignment/>
    </xf>
    <xf numFmtId="14" fontId="158" fillId="29" borderId="10" xfId="49" applyNumberFormat="1" applyFont="1" applyBorder="1" applyAlignment="1">
      <alignment vertical="center"/>
    </xf>
    <xf numFmtId="167" fontId="157" fillId="29" borderId="11" xfId="49" applyNumberFormat="1" applyFont="1" applyBorder="1" applyAlignment="1">
      <alignment/>
    </xf>
    <xf numFmtId="0" fontId="157" fillId="29" borderId="11" xfId="49" applyFont="1" applyBorder="1" applyAlignment="1">
      <alignment/>
    </xf>
    <xf numFmtId="14" fontId="157" fillId="29" borderId="11" xfId="49" applyNumberFormat="1" applyFont="1" applyBorder="1" applyAlignment="1">
      <alignment vertical="center"/>
    </xf>
    <xf numFmtId="167" fontId="157" fillId="29" borderId="13" xfId="49" applyNumberFormat="1" applyFont="1" applyBorder="1" applyAlignment="1">
      <alignment/>
    </xf>
    <xf numFmtId="0" fontId="157" fillId="29" borderId="12" xfId="49" applyFont="1" applyBorder="1" applyAlignment="1">
      <alignment/>
    </xf>
    <xf numFmtId="0" fontId="157" fillId="29" borderId="13" xfId="49" applyFont="1" applyBorder="1" applyAlignment="1">
      <alignment vertical="center"/>
    </xf>
    <xf numFmtId="0" fontId="157" fillId="29" borderId="14" xfId="49" applyFont="1" applyBorder="1" applyAlignment="1">
      <alignment/>
    </xf>
    <xf numFmtId="167" fontId="159" fillId="0" borderId="0" xfId="49" applyNumberFormat="1" applyFont="1" applyFill="1" applyBorder="1" applyAlignment="1">
      <alignment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1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91" fillId="0" borderId="0" xfId="0" applyFont="1" applyBorder="1" applyAlignment="1" applyProtection="1">
      <alignment/>
      <protection/>
    </xf>
    <xf numFmtId="0" fontId="153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6" fontId="0" fillId="0" borderId="0" xfId="0" applyNumberFormat="1" applyAlignment="1">
      <alignment horizontal="center"/>
    </xf>
    <xf numFmtId="46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35" borderId="0" xfId="0" applyFill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2" fillId="4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wrapText="1"/>
    </xf>
    <xf numFmtId="46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16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92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 indent="5"/>
      <protection/>
    </xf>
    <xf numFmtId="172" fontId="17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9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6" borderId="17" xfId="0" applyFill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 horizontal="center"/>
      <protection/>
    </xf>
    <xf numFmtId="0" fontId="93" fillId="0" borderId="19" xfId="0" applyFont="1" applyBorder="1" applyAlignment="1" applyProtection="1">
      <alignment/>
      <protection/>
    </xf>
    <xf numFmtId="0" fontId="93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2" fillId="7" borderId="2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7" fillId="0" borderId="19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0" fillId="0" borderId="23" xfId="0" applyFont="1" applyBorder="1" applyAlignment="1" applyProtection="1">
      <alignment/>
      <protection/>
    </xf>
    <xf numFmtId="0" fontId="10" fillId="0" borderId="24" xfId="0" applyFont="1" applyBorder="1" applyAlignment="1" applyProtection="1">
      <alignment/>
      <protection/>
    </xf>
    <xf numFmtId="0" fontId="10" fillId="0" borderId="25" xfId="0" applyFont="1" applyBorder="1" applyAlignment="1" applyProtection="1">
      <alignment/>
      <protection/>
    </xf>
    <xf numFmtId="0" fontId="93" fillId="0" borderId="26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60" fillId="0" borderId="19" xfId="0" applyFont="1" applyBorder="1" applyAlignment="1" applyProtection="1">
      <alignment/>
      <protection/>
    </xf>
    <xf numFmtId="173" fontId="10" fillId="0" borderId="0" xfId="0" applyNumberFormat="1" applyFont="1" applyBorder="1" applyAlignment="1" applyProtection="1">
      <alignment horizontal="center"/>
      <protection/>
    </xf>
    <xf numFmtId="172" fontId="10" fillId="0" borderId="0" xfId="0" applyNumberFormat="1" applyFont="1" applyBorder="1" applyAlignment="1" applyProtection="1">
      <alignment horizontal="center"/>
      <protection/>
    </xf>
    <xf numFmtId="172" fontId="10" fillId="0" borderId="20" xfId="0" applyNumberFormat="1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vertical="top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8" fillId="37" borderId="0" xfId="0" applyFont="1" applyFill="1" applyAlignment="1" applyProtection="1">
      <alignment/>
      <protection/>
    </xf>
    <xf numFmtId="0" fontId="8" fillId="0" borderId="19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19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20" xfId="0" applyFont="1" applyBorder="1" applyAlignment="1" applyProtection="1">
      <alignment vertical="top" wrapText="1"/>
      <protection/>
    </xf>
    <xf numFmtId="0" fontId="8" fillId="0" borderId="28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61" fillId="0" borderId="0" xfId="0" applyFont="1" applyBorder="1" applyAlignment="1" applyProtection="1">
      <alignment horizontal="left" vertical="top"/>
      <protection/>
    </xf>
    <xf numFmtId="14" fontId="18" fillId="0" borderId="0" xfId="0" applyNumberFormat="1" applyFont="1" applyFill="1" applyBorder="1" applyAlignment="1" applyProtection="1">
      <alignment horizontal="center" vertical="center"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162" fillId="0" borderId="0" xfId="0" applyFont="1" applyBorder="1" applyAlignment="1" applyProtection="1">
      <alignment horizontal="left" vertical="top"/>
      <protection/>
    </xf>
    <xf numFmtId="0" fontId="21" fillId="38" borderId="30" xfId="0" applyFont="1" applyFill="1" applyBorder="1" applyAlignment="1" applyProtection="1">
      <alignment horizontal="center" wrapText="1"/>
      <protection/>
    </xf>
    <xf numFmtId="0" fontId="21" fillId="38" borderId="31" xfId="0" applyFont="1" applyFill="1" applyBorder="1" applyAlignment="1" applyProtection="1">
      <alignment horizontal="center" wrapText="1"/>
      <protection/>
    </xf>
    <xf numFmtId="0" fontId="21" fillId="38" borderId="32" xfId="0" applyFont="1" applyFill="1" applyBorder="1" applyAlignment="1" applyProtection="1">
      <alignment horizontal="center" wrapText="1"/>
      <protection/>
    </xf>
    <xf numFmtId="0" fontId="13" fillId="39" borderId="29" xfId="0" applyFont="1" applyFill="1" applyBorder="1" applyAlignment="1" applyProtection="1">
      <alignment horizontal="center" vertical="center"/>
      <protection locked="0"/>
    </xf>
    <xf numFmtId="0" fontId="98" fillId="37" borderId="0" xfId="0" applyFont="1" applyFill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7" fillId="16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170" fontId="6" fillId="0" borderId="37" xfId="0" applyNumberFormat="1" applyFont="1" applyBorder="1" applyAlignment="1">
      <alignment horizontal="left"/>
    </xf>
    <xf numFmtId="0" fontId="163" fillId="0" borderId="37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100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2" fontId="163" fillId="0" borderId="37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64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NumberFormat="1" applyFont="1" applyAlignment="1" applyProtection="1">
      <alignment/>
      <protection/>
    </xf>
    <xf numFmtId="0" fontId="164" fillId="0" borderId="0" xfId="0" applyFont="1" applyAlignment="1" applyProtection="1">
      <alignment vertical="top" wrapText="1"/>
      <protection/>
    </xf>
    <xf numFmtId="0" fontId="100" fillId="0" borderId="0" xfId="0" applyFont="1" applyAlignment="1" applyProtection="1">
      <alignment/>
      <protection/>
    </xf>
    <xf numFmtId="186" fontId="0" fillId="0" borderId="0" xfId="0" applyNumberForma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8" fontId="15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8" fillId="0" borderId="20" xfId="0" applyFont="1" applyBorder="1" applyAlignment="1" applyProtection="1">
      <alignment horizontal="center" vertical="top" wrapText="1"/>
      <protection/>
    </xf>
    <xf numFmtId="0" fontId="21" fillId="38" borderId="38" xfId="0" applyFont="1" applyFill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 indent="5"/>
      <protection/>
    </xf>
    <xf numFmtId="0" fontId="8" fillId="0" borderId="0" xfId="0" applyFont="1" applyAlignment="1" applyProtection="1">
      <alignment wrapText="1"/>
      <protection locked="0"/>
    </xf>
    <xf numFmtId="0" fontId="21" fillId="38" borderId="39" xfId="0" applyFont="1" applyFill="1" applyBorder="1" applyAlignment="1" applyProtection="1">
      <alignment horizontal="center" wrapText="1"/>
      <protection/>
    </xf>
    <xf numFmtId="2" fontId="12" fillId="40" borderId="40" xfId="0" applyNumberFormat="1" applyFont="1" applyFill="1" applyBorder="1" applyAlignment="1" applyProtection="1">
      <alignment horizontal="center"/>
      <protection/>
    </xf>
    <xf numFmtId="14" fontId="21" fillId="38" borderId="31" xfId="0" applyNumberFormat="1" applyFont="1" applyFill="1" applyBorder="1" applyAlignment="1" applyProtection="1">
      <alignment horizontal="right"/>
      <protection/>
    </xf>
    <xf numFmtId="14" fontId="21" fillId="38" borderId="31" xfId="0" applyNumberFormat="1" applyFont="1" applyFill="1" applyBorder="1" applyAlignment="1" applyProtection="1">
      <alignment/>
      <protection/>
    </xf>
    <xf numFmtId="186" fontId="12" fillId="40" borderId="41" xfId="0" applyNumberFormat="1" applyFont="1" applyFill="1" applyBorder="1" applyAlignment="1" applyProtection="1">
      <alignment horizontal="center"/>
      <protection/>
    </xf>
    <xf numFmtId="2" fontId="21" fillId="41" borderId="30" xfId="0" applyNumberFormat="1" applyFont="1" applyFill="1" applyBorder="1" applyAlignment="1" applyProtection="1">
      <alignment horizontal="center"/>
      <protection locked="0"/>
    </xf>
    <xf numFmtId="2" fontId="21" fillId="41" borderId="31" xfId="0" applyNumberFormat="1" applyFont="1" applyFill="1" applyBorder="1" applyAlignment="1" applyProtection="1">
      <alignment horizontal="center"/>
      <protection locked="0"/>
    </xf>
    <xf numFmtId="1" fontId="14" fillId="0" borderId="42" xfId="0" applyNumberFormat="1" applyFont="1" applyBorder="1" applyAlignment="1">
      <alignment horizontal="center"/>
    </xf>
    <xf numFmtId="0" fontId="14" fillId="0" borderId="43" xfId="0" applyFont="1" applyBorder="1" applyAlignment="1" applyProtection="1">
      <alignment horizontal="center"/>
      <protection locked="0"/>
    </xf>
    <xf numFmtId="2" fontId="14" fillId="0" borderId="43" xfId="0" applyNumberFormat="1" applyFont="1" applyBorder="1" applyAlignment="1" applyProtection="1">
      <alignment horizontal="center"/>
      <protection locked="0"/>
    </xf>
    <xf numFmtId="1" fontId="14" fillId="0" borderId="44" xfId="0" applyNumberFormat="1" applyFont="1" applyBorder="1" applyAlignment="1">
      <alignment horizontal="center"/>
    </xf>
    <xf numFmtId="0" fontId="13" fillId="16" borderId="45" xfId="0" applyFont="1" applyFill="1" applyBorder="1" applyAlignment="1" applyProtection="1">
      <alignment horizontal="center" vertical="center"/>
      <protection/>
    </xf>
    <xf numFmtId="0" fontId="13" fillId="16" borderId="46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7" fillId="0" borderId="0" xfId="0" applyFont="1" applyAlignment="1">
      <alignment/>
    </xf>
    <xf numFmtId="0" fontId="37" fillId="0" borderId="0" xfId="0" applyFont="1" applyAlignment="1">
      <alignment vertical="top"/>
    </xf>
    <xf numFmtId="0" fontId="37" fillId="0" borderId="0" xfId="0" applyFont="1" applyBorder="1" applyAlignment="1">
      <alignment vertical="top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 indent="1"/>
      <protection/>
    </xf>
    <xf numFmtId="0" fontId="21" fillId="38" borderId="30" xfId="0" applyFont="1" applyFill="1" applyBorder="1" applyAlignment="1" applyProtection="1">
      <alignment horizontal="left"/>
      <protection/>
    </xf>
    <xf numFmtId="0" fontId="21" fillId="0" borderId="26" xfId="0" applyFont="1" applyBorder="1" applyAlignment="1" applyProtection="1">
      <alignment horizontal="left"/>
      <protection/>
    </xf>
    <xf numFmtId="0" fontId="21" fillId="0" borderId="47" xfId="0" applyFont="1" applyBorder="1" applyAlignment="1" applyProtection="1">
      <alignment horizontal="left"/>
      <protection/>
    </xf>
    <xf numFmtId="0" fontId="21" fillId="38" borderId="30" xfId="0" applyFont="1" applyFill="1" applyBorder="1" applyAlignment="1" applyProtection="1">
      <alignment/>
      <protection/>
    </xf>
    <xf numFmtId="0" fontId="21" fillId="0" borderId="19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32" fillId="0" borderId="0" xfId="0" applyFont="1" applyAlignment="1" applyProtection="1">
      <alignment/>
      <protection/>
    </xf>
    <xf numFmtId="0" fontId="12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Fill="1" applyAlignment="1" applyProtection="1">
      <alignment horizontal="right"/>
      <protection/>
    </xf>
    <xf numFmtId="0" fontId="19" fillId="37" borderId="0" xfId="0" applyFont="1" applyFill="1" applyAlignment="1" applyProtection="1">
      <alignment horizontal="left" vertical="center" wrapText="1"/>
      <protection/>
    </xf>
    <xf numFmtId="169" fontId="6" fillId="4" borderId="0" xfId="0" applyNumberFormat="1" applyFont="1" applyFill="1" applyAlignment="1">
      <alignment/>
    </xf>
    <xf numFmtId="166" fontId="6" fillId="4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0" fontId="13" fillId="38" borderId="48" xfId="0" applyFont="1" applyFill="1" applyBorder="1" applyAlignment="1" applyProtection="1">
      <alignment horizontal="center" wrapText="1"/>
      <protection/>
    </xf>
    <xf numFmtId="0" fontId="13" fillId="38" borderId="49" xfId="0" applyFont="1" applyFill="1" applyBorder="1" applyAlignment="1" applyProtection="1">
      <alignment horizontal="center" wrapText="1"/>
      <protection/>
    </xf>
    <xf numFmtId="0" fontId="13" fillId="38" borderId="50" xfId="0" applyFont="1" applyFill="1" applyBorder="1" applyAlignment="1" applyProtection="1">
      <alignment horizontal="center" wrapText="1"/>
      <protection/>
    </xf>
    <xf numFmtId="0" fontId="13" fillId="38" borderId="51" xfId="0" applyFont="1" applyFill="1" applyBorder="1" applyAlignment="1" applyProtection="1">
      <alignment horizontal="center" wrapText="1"/>
      <protection/>
    </xf>
    <xf numFmtId="0" fontId="13" fillId="38" borderId="52" xfId="0" applyFont="1" applyFill="1" applyBorder="1" applyAlignment="1" applyProtection="1">
      <alignment horizontal="center" wrapText="1"/>
      <protection/>
    </xf>
    <xf numFmtId="0" fontId="21" fillId="0" borderId="0" xfId="0" applyFont="1" applyAlignment="1" applyProtection="1">
      <alignment horizontal="right"/>
      <protection/>
    </xf>
    <xf numFmtId="0" fontId="13" fillId="38" borderId="53" xfId="0" applyFont="1" applyFill="1" applyBorder="1" applyAlignment="1" applyProtection="1">
      <alignment horizontal="left"/>
      <protection/>
    </xf>
    <xf numFmtId="2" fontId="13" fillId="41" borderId="53" xfId="0" applyNumberFormat="1" applyFont="1" applyFill="1" applyBorder="1" applyAlignment="1" applyProtection="1">
      <alignment horizontal="center"/>
      <protection locked="0"/>
    </xf>
    <xf numFmtId="20" fontId="13" fillId="38" borderId="54" xfId="0" applyNumberFormat="1" applyFont="1" applyFill="1" applyBorder="1" applyAlignment="1" applyProtection="1">
      <alignment horizontal="center"/>
      <protection/>
    </xf>
    <xf numFmtId="2" fontId="13" fillId="38" borderId="55" xfId="0" applyNumberFormat="1" applyFont="1" applyFill="1" applyBorder="1" applyAlignment="1" applyProtection="1">
      <alignment horizontal="center"/>
      <protection/>
    </xf>
    <xf numFmtId="0" fontId="13" fillId="38" borderId="30" xfId="0" applyFont="1" applyFill="1" applyBorder="1" applyAlignment="1" applyProtection="1">
      <alignment horizontal="left"/>
      <protection/>
    </xf>
    <xf numFmtId="20" fontId="13" fillId="38" borderId="56" xfId="0" applyNumberFormat="1" applyFont="1" applyFill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horizontal="left"/>
      <protection/>
    </xf>
    <xf numFmtId="0" fontId="13" fillId="0" borderId="47" xfId="0" applyFont="1" applyBorder="1" applyAlignment="1" applyProtection="1">
      <alignment horizontal="left"/>
      <protection/>
    </xf>
    <xf numFmtId="0" fontId="165" fillId="0" borderId="0" xfId="0" applyFont="1" applyBorder="1" applyAlignment="1" applyProtection="1">
      <alignment horizontal="left" vertical="top"/>
      <protection/>
    </xf>
    <xf numFmtId="0" fontId="36" fillId="0" borderId="26" xfId="0" applyFont="1" applyBorder="1" applyAlignment="1" applyProtection="1">
      <alignment/>
      <protection/>
    </xf>
    <xf numFmtId="0" fontId="36" fillId="0" borderId="47" xfId="0" applyFont="1" applyBorder="1" applyAlignment="1" applyProtection="1">
      <alignment/>
      <protection/>
    </xf>
    <xf numFmtId="0" fontId="36" fillId="0" borderId="27" xfId="0" applyFont="1" applyBorder="1" applyAlignment="1" applyProtection="1">
      <alignment/>
      <protection/>
    </xf>
    <xf numFmtId="14" fontId="13" fillId="0" borderId="57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14" fontId="13" fillId="38" borderId="39" xfId="0" applyNumberFormat="1" applyFont="1" applyFill="1" applyBorder="1" applyAlignment="1" applyProtection="1">
      <alignment horizontal="right"/>
      <protection/>
    </xf>
    <xf numFmtId="14" fontId="13" fillId="38" borderId="31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" fontId="13" fillId="0" borderId="42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72" fontId="14" fillId="0" borderId="10" xfId="0" applyNumberFormat="1" applyFont="1" applyFill="1" applyBorder="1" applyAlignment="1" applyProtection="1">
      <alignment horizontal="center"/>
      <protection/>
    </xf>
    <xf numFmtId="20" fontId="14" fillId="0" borderId="10" xfId="0" applyNumberFormat="1" applyFont="1" applyFill="1" applyBorder="1" applyAlignment="1" applyProtection="1">
      <alignment horizontal="right"/>
      <protection/>
    </xf>
    <xf numFmtId="0" fontId="13" fillId="42" borderId="42" xfId="0" applyFont="1" applyFill="1" applyBorder="1" applyAlignment="1" applyProtection="1">
      <alignment/>
      <protection/>
    </xf>
    <xf numFmtId="0" fontId="13" fillId="42" borderId="10" xfId="0" applyFont="1" applyFill="1" applyBorder="1" applyAlignment="1" applyProtection="1">
      <alignment horizontal="center"/>
      <protection/>
    </xf>
    <xf numFmtId="172" fontId="14" fillId="42" borderId="10" xfId="0" applyNumberFormat="1" applyFont="1" applyFill="1" applyBorder="1" applyAlignment="1" applyProtection="1">
      <alignment horizontal="center"/>
      <protection/>
    </xf>
    <xf numFmtId="2" fontId="14" fillId="42" borderId="10" xfId="0" applyNumberFormat="1" applyFont="1" applyFill="1" applyBorder="1" applyAlignment="1" applyProtection="1">
      <alignment horizontal="right"/>
      <protection/>
    </xf>
    <xf numFmtId="2" fontId="14" fillId="42" borderId="58" xfId="0" applyNumberFormat="1" applyFont="1" applyFill="1" applyBorder="1" applyAlignment="1" applyProtection="1">
      <alignment horizontal="right"/>
      <protection/>
    </xf>
    <xf numFmtId="2" fontId="13" fillId="42" borderId="59" xfId="0" applyNumberFormat="1" applyFont="1" applyFill="1" applyBorder="1" applyAlignment="1" applyProtection="1">
      <alignment horizontal="right"/>
      <protection/>
    </xf>
    <xf numFmtId="0" fontId="13" fillId="0" borderId="42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right"/>
      <protection/>
    </xf>
    <xf numFmtId="2" fontId="14" fillId="0" borderId="58" xfId="0" applyNumberFormat="1" applyFont="1" applyFill="1" applyBorder="1" applyAlignment="1" applyProtection="1">
      <alignment horizontal="right"/>
      <protection/>
    </xf>
    <xf numFmtId="2" fontId="13" fillId="0" borderId="59" xfId="0" applyNumberFormat="1" applyFont="1" applyFill="1" applyBorder="1" applyAlignment="1" applyProtection="1">
      <alignment horizontal="right"/>
      <protection/>
    </xf>
    <xf numFmtId="0" fontId="13" fillId="42" borderId="60" xfId="0" applyFont="1" applyFill="1" applyBorder="1" applyAlignment="1" applyProtection="1">
      <alignment horizontal="center" vertical="center"/>
      <protection/>
    </xf>
    <xf numFmtId="0" fontId="13" fillId="42" borderId="45" xfId="0" applyFont="1" applyFill="1" applyBorder="1" applyAlignment="1" applyProtection="1">
      <alignment horizontal="center" vertical="center"/>
      <protection/>
    </xf>
    <xf numFmtId="0" fontId="13" fillId="42" borderId="46" xfId="0" applyFont="1" applyFill="1" applyBorder="1" applyAlignment="1" applyProtection="1">
      <alignment horizontal="center" vertical="center"/>
      <protection/>
    </xf>
    <xf numFmtId="0" fontId="13" fillId="42" borderId="61" xfId="0" applyFont="1" applyFill="1" applyBorder="1" applyAlignment="1" applyProtection="1">
      <alignment horizontal="center" vertical="center"/>
      <protection/>
    </xf>
    <xf numFmtId="2" fontId="13" fillId="42" borderId="58" xfId="0" applyNumberFormat="1" applyFont="1" applyFill="1" applyBorder="1" applyAlignment="1" applyProtection="1">
      <alignment horizontal="right"/>
      <protection/>
    </xf>
    <xf numFmtId="2" fontId="13" fillId="0" borderId="58" xfId="0" applyNumberFormat="1" applyFont="1" applyFill="1" applyBorder="1" applyAlignment="1" applyProtection="1">
      <alignment horizontal="right"/>
      <protection/>
    </xf>
    <xf numFmtId="186" fontId="13" fillId="42" borderId="58" xfId="0" applyNumberFormat="1" applyFont="1" applyFill="1" applyBorder="1" applyAlignment="1" applyProtection="1">
      <alignment horizontal="right"/>
      <protection/>
    </xf>
    <xf numFmtId="20" fontId="13" fillId="38" borderId="62" xfId="0" applyNumberFormat="1" applyFont="1" applyFill="1" applyBorder="1" applyAlignment="1" applyProtection="1">
      <alignment horizontal="center"/>
      <protection/>
    </xf>
    <xf numFmtId="186" fontId="12" fillId="43" borderId="17" xfId="0" applyNumberFormat="1" applyFont="1" applyFill="1" applyBorder="1" applyAlignment="1" applyProtection="1">
      <alignment horizontal="center"/>
      <protection/>
    </xf>
    <xf numFmtId="2" fontId="12" fillId="43" borderId="17" xfId="0" applyNumberFormat="1" applyFont="1" applyFill="1" applyBorder="1" applyAlignment="1" applyProtection="1">
      <alignment horizontal="center"/>
      <protection/>
    </xf>
    <xf numFmtId="186" fontId="12" fillId="43" borderId="63" xfId="0" applyNumberFormat="1" applyFont="1" applyFill="1" applyBorder="1" applyAlignment="1" applyProtection="1">
      <alignment horizontal="center"/>
      <protection/>
    </xf>
    <xf numFmtId="0" fontId="17" fillId="0" borderId="0" xfId="58" applyFont="1" applyProtection="1">
      <alignment/>
      <protection/>
    </xf>
    <xf numFmtId="0" fontId="17" fillId="0" borderId="0" xfId="58" applyFont="1" applyBorder="1" applyProtection="1">
      <alignment/>
      <protection/>
    </xf>
    <xf numFmtId="0" fontId="8" fillId="0" borderId="0" xfId="0" applyFont="1" applyAlignment="1" applyProtection="1">
      <alignment vertical="center"/>
      <protection locked="0"/>
    </xf>
    <xf numFmtId="2" fontId="14" fillId="4" borderId="64" xfId="0" applyNumberFormat="1" applyFont="1" applyFill="1" applyBorder="1" applyAlignment="1" applyProtection="1">
      <alignment horizontal="center"/>
      <protection locked="0"/>
    </xf>
    <xf numFmtId="2" fontId="14" fillId="4" borderId="65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33" fillId="44" borderId="66" xfId="0" applyFont="1" applyFill="1" applyBorder="1" applyAlignment="1">
      <alignment horizontal="center"/>
    </xf>
    <xf numFmtId="0" fontId="21" fillId="44" borderId="67" xfId="0" applyFont="1" applyFill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>
      <alignment/>
    </xf>
    <xf numFmtId="166" fontId="6" fillId="0" borderId="0" xfId="0" applyNumberFormat="1" applyFont="1" applyAlignment="1">
      <alignment wrapText="1"/>
    </xf>
    <xf numFmtId="166" fontId="6" fillId="0" borderId="0" xfId="0" applyNumberFormat="1" applyFont="1" applyAlignment="1">
      <alignment horizontal="left" vertical="center" indent="1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 indent="1"/>
    </xf>
    <xf numFmtId="16" fontId="6" fillId="0" borderId="0" xfId="0" applyNumberFormat="1" applyFont="1" applyAlignment="1">
      <alignment horizontal="left" vertical="center" indent="1"/>
    </xf>
    <xf numFmtId="16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vertical="center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166" fontId="6" fillId="0" borderId="0" xfId="0" applyNumberFormat="1" applyFont="1" applyFill="1" applyAlignment="1">
      <alignment/>
    </xf>
    <xf numFmtId="0" fontId="6" fillId="4" borderId="0" xfId="0" applyFont="1" applyFill="1" applyAlignment="1">
      <alignment horizontal="left"/>
    </xf>
    <xf numFmtId="0" fontId="42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166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93" fontId="14" fillId="0" borderId="43" xfId="0" applyNumberFormat="1" applyFont="1" applyBorder="1" applyAlignment="1">
      <alignment horizontal="left"/>
    </xf>
    <xf numFmtId="0" fontId="14" fillId="0" borderId="47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47" xfId="0" applyFont="1" applyBorder="1" applyAlignment="1" applyProtection="1">
      <alignment horizontal="center"/>
      <protection locked="0"/>
    </xf>
    <xf numFmtId="1" fontId="13" fillId="44" borderId="66" xfId="0" applyNumberFormat="1" applyFont="1" applyFill="1" applyBorder="1" applyAlignment="1">
      <alignment horizontal="center"/>
    </xf>
    <xf numFmtId="2" fontId="13" fillId="44" borderId="66" xfId="0" applyNumberFormat="1" applyFont="1" applyFill="1" applyBorder="1" applyAlignment="1">
      <alignment/>
    </xf>
    <xf numFmtId="0" fontId="6" fillId="34" borderId="68" xfId="0" applyFont="1" applyFill="1" applyBorder="1" applyAlignment="1">
      <alignment horizontal="center"/>
    </xf>
    <xf numFmtId="0" fontId="14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170" fontId="6" fillId="4" borderId="37" xfId="0" applyNumberFormat="1" applyFont="1" applyFill="1" applyBorder="1" applyAlignment="1">
      <alignment horizontal="left"/>
    </xf>
    <xf numFmtId="193" fontId="13" fillId="4" borderId="43" xfId="0" applyNumberFormat="1" applyFont="1" applyFill="1" applyBorder="1" applyAlignment="1">
      <alignment horizontal="left"/>
    </xf>
    <xf numFmtId="166" fontId="6" fillId="0" borderId="0" xfId="0" applyNumberFormat="1" applyFont="1" applyAlignment="1">
      <alignment horizontal="right"/>
    </xf>
    <xf numFmtId="20" fontId="17" fillId="0" borderId="0" xfId="0" applyNumberFormat="1" applyFont="1" applyAlignment="1" applyProtection="1">
      <alignment/>
      <protection/>
    </xf>
    <xf numFmtId="0" fontId="21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20" fontId="14" fillId="0" borderId="58" xfId="0" applyNumberFormat="1" applyFont="1" applyFill="1" applyBorder="1" applyAlignment="1" applyProtection="1">
      <alignment horizontal="right"/>
      <protection/>
    </xf>
    <xf numFmtId="186" fontId="13" fillId="0" borderId="69" xfId="0" applyNumberFormat="1" applyFont="1" applyFill="1" applyBorder="1" applyAlignment="1" applyProtection="1">
      <alignment horizontal="right"/>
      <protection/>
    </xf>
    <xf numFmtId="0" fontId="161" fillId="0" borderId="0" xfId="0" applyFont="1" applyBorder="1" applyAlignment="1" applyProtection="1">
      <alignment vertical="top"/>
      <protection/>
    </xf>
    <xf numFmtId="2" fontId="21" fillId="38" borderId="70" xfId="0" applyNumberFormat="1" applyFont="1" applyFill="1" applyBorder="1" applyAlignment="1" applyProtection="1">
      <alignment horizontal="center"/>
      <protection/>
    </xf>
    <xf numFmtId="1" fontId="21" fillId="38" borderId="71" xfId="0" applyNumberFormat="1" applyFont="1" applyFill="1" applyBorder="1" applyAlignment="1" applyProtection="1">
      <alignment horizontal="center"/>
      <protection/>
    </xf>
    <xf numFmtId="1" fontId="12" fillId="40" borderId="72" xfId="0" applyNumberFormat="1" applyFont="1" applyFill="1" applyBorder="1" applyAlignment="1" applyProtection="1">
      <alignment horizontal="center"/>
      <protection/>
    </xf>
    <xf numFmtId="0" fontId="166" fillId="0" borderId="0" xfId="0" applyFont="1" applyAlignment="1" applyProtection="1">
      <alignment wrapText="1"/>
      <protection/>
    </xf>
    <xf numFmtId="0" fontId="17" fillId="0" borderId="0" xfId="0" applyFont="1" applyBorder="1" applyAlignment="1" applyProtection="1">
      <alignment horizontal="right"/>
      <protection/>
    </xf>
    <xf numFmtId="0" fontId="17" fillId="0" borderId="73" xfId="0" applyFont="1" applyBorder="1" applyAlignment="1" applyProtection="1">
      <alignment horizontal="right"/>
      <protection/>
    </xf>
    <xf numFmtId="0" fontId="98" fillId="37" borderId="73" xfId="0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right" wrapText="1"/>
      <protection/>
    </xf>
    <xf numFmtId="0" fontId="35" fillId="0" borderId="0" xfId="0" applyFont="1" applyBorder="1" applyAlignment="1">
      <alignment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21" fillId="38" borderId="74" xfId="0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 applyProtection="1">
      <alignment/>
      <protection/>
    </xf>
    <xf numFmtId="0" fontId="8" fillId="37" borderId="0" xfId="0" applyFont="1" applyFill="1" applyBorder="1" applyAlignment="1" applyProtection="1">
      <alignment/>
      <protection/>
    </xf>
    <xf numFmtId="0" fontId="167" fillId="0" borderId="0" xfId="0" applyFont="1" applyAlignment="1">
      <alignment vertical="top"/>
    </xf>
    <xf numFmtId="0" fontId="168" fillId="0" borderId="0" xfId="0" applyFont="1" applyAlignment="1">
      <alignment vertical="top"/>
    </xf>
    <xf numFmtId="0" fontId="168" fillId="0" borderId="0" xfId="0" applyFont="1" applyAlignment="1">
      <alignment vertical="top" wrapText="1"/>
    </xf>
    <xf numFmtId="0" fontId="169" fillId="43" borderId="0" xfId="0" applyFont="1" applyFill="1" applyAlignment="1">
      <alignment vertical="top"/>
    </xf>
    <xf numFmtId="0" fontId="0" fillId="43" borderId="0" xfId="0" applyFill="1" applyAlignment="1">
      <alignment/>
    </xf>
    <xf numFmtId="0" fontId="14" fillId="43" borderId="0" xfId="0" applyFont="1" applyFill="1" applyAlignment="1">
      <alignment vertical="top" wrapText="1"/>
    </xf>
    <xf numFmtId="0" fontId="147" fillId="43" borderId="0" xfId="54" applyFill="1" applyBorder="1" applyAlignment="1" applyProtection="1">
      <alignment/>
      <protection locked="0"/>
    </xf>
    <xf numFmtId="186" fontId="12" fillId="40" borderId="75" xfId="0" applyNumberFormat="1" applyFont="1" applyFill="1" applyBorder="1" applyAlignment="1" applyProtection="1">
      <alignment horizontal="center"/>
      <protection/>
    </xf>
    <xf numFmtId="20" fontId="21" fillId="38" borderId="76" xfId="0" applyNumberFormat="1" applyFont="1" applyFill="1" applyBorder="1" applyAlignment="1" applyProtection="1">
      <alignment horizontal="center"/>
      <protection/>
    </xf>
    <xf numFmtId="20" fontId="170" fillId="38" borderId="77" xfId="0" applyNumberFormat="1" applyFont="1" applyFill="1" applyBorder="1" applyAlignment="1" applyProtection="1">
      <alignment horizontal="center"/>
      <protection/>
    </xf>
    <xf numFmtId="20" fontId="170" fillId="38" borderId="78" xfId="0" applyNumberFormat="1" applyFont="1" applyFill="1" applyBorder="1" applyAlignment="1" applyProtection="1">
      <alignment horizontal="center"/>
      <protection/>
    </xf>
    <xf numFmtId="186" fontId="21" fillId="38" borderId="79" xfId="0" applyNumberFormat="1" applyFont="1" applyFill="1" applyBorder="1" applyAlignment="1" applyProtection="1">
      <alignment horizontal="center"/>
      <protection/>
    </xf>
    <xf numFmtId="186" fontId="21" fillId="38" borderId="80" xfId="0" applyNumberFormat="1" applyFont="1" applyFill="1" applyBorder="1" applyAlignment="1" applyProtection="1">
      <alignment horizontal="center"/>
      <protection/>
    </xf>
    <xf numFmtId="186" fontId="21" fillId="38" borderId="81" xfId="0" applyNumberFormat="1" applyFont="1" applyFill="1" applyBorder="1" applyAlignment="1" applyProtection="1">
      <alignment horizontal="center"/>
      <protection/>
    </xf>
    <xf numFmtId="0" fontId="19" fillId="37" borderId="0" xfId="0" applyFont="1" applyFill="1" applyAlignment="1" applyProtection="1">
      <alignment horizontal="left" vertical="center"/>
      <protection/>
    </xf>
    <xf numFmtId="172" fontId="14" fillId="42" borderId="37" xfId="0" applyNumberFormat="1" applyFont="1" applyFill="1" applyBorder="1" applyAlignment="1" applyProtection="1">
      <alignment horizontal="center"/>
      <protection/>
    </xf>
    <xf numFmtId="2" fontId="14" fillId="42" borderId="37" xfId="0" applyNumberFormat="1" applyFont="1" applyFill="1" applyBorder="1" applyAlignment="1" applyProtection="1">
      <alignment horizontal="right"/>
      <protection/>
    </xf>
    <xf numFmtId="2" fontId="14" fillId="42" borderId="65" xfId="0" applyNumberFormat="1" applyFont="1" applyFill="1" applyBorder="1" applyAlignment="1" applyProtection="1">
      <alignment horizontal="right"/>
      <protection/>
    </xf>
    <xf numFmtId="2" fontId="13" fillId="42" borderId="82" xfId="0" applyNumberFormat="1" applyFont="1" applyFill="1" applyBorder="1" applyAlignment="1" applyProtection="1">
      <alignment horizontal="right"/>
      <protection/>
    </xf>
    <xf numFmtId="2" fontId="13" fillId="42" borderId="65" xfId="0" applyNumberFormat="1" applyFont="1" applyFill="1" applyBorder="1" applyAlignment="1" applyProtection="1">
      <alignment horizontal="right"/>
      <protection/>
    </xf>
    <xf numFmtId="0" fontId="17" fillId="0" borderId="0" xfId="0" applyFont="1" applyAlignment="1" applyProtection="1">
      <alignment horizontal="left"/>
      <protection/>
    </xf>
    <xf numFmtId="186" fontId="21" fillId="38" borderId="83" xfId="0" applyNumberFormat="1" applyFont="1" applyFill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vertical="top" wrapText="1"/>
      <protection/>
    </xf>
    <xf numFmtId="0" fontId="13" fillId="39" borderId="17" xfId="0" applyFont="1" applyFill="1" applyBorder="1" applyAlignment="1" applyProtection="1">
      <alignment shrinkToFit="1"/>
      <protection/>
    </xf>
    <xf numFmtId="0" fontId="92" fillId="0" borderId="84" xfId="0" applyFont="1" applyBorder="1" applyAlignment="1" applyProtection="1">
      <alignment horizontal="left"/>
      <protection/>
    </xf>
    <xf numFmtId="0" fontId="13" fillId="0" borderId="85" xfId="0" applyFont="1" applyFill="1" applyBorder="1" applyAlignment="1" applyProtection="1">
      <alignment horizontal="left"/>
      <protection/>
    </xf>
    <xf numFmtId="0" fontId="13" fillId="42" borderId="85" xfId="0" applyFont="1" applyFill="1" applyBorder="1" applyAlignment="1" applyProtection="1">
      <alignment horizontal="left"/>
      <protection/>
    </xf>
    <xf numFmtId="0" fontId="10" fillId="0" borderId="19" xfId="0" applyFont="1" applyFill="1" applyBorder="1" applyAlignment="1" applyProtection="1">
      <alignment/>
      <protection/>
    </xf>
    <xf numFmtId="0" fontId="160" fillId="0" borderId="86" xfId="0" applyFont="1" applyBorder="1" applyAlignment="1" applyProtection="1">
      <alignment/>
      <protection/>
    </xf>
    <xf numFmtId="165" fontId="7" fillId="41" borderId="31" xfId="58" applyNumberFormat="1" applyFont="1" applyFill="1" applyBorder="1" applyAlignment="1" applyProtection="1">
      <alignment horizontal="center"/>
      <protection locked="0"/>
    </xf>
    <xf numFmtId="165" fontId="7" fillId="39" borderId="31" xfId="58" applyNumberFormat="1" applyFont="1" applyFill="1" applyBorder="1" applyAlignment="1" applyProtection="1">
      <alignment horizontal="center"/>
      <protection locked="0"/>
    </xf>
    <xf numFmtId="165" fontId="7" fillId="41" borderId="87" xfId="58" applyNumberFormat="1" applyFont="1" applyFill="1" applyBorder="1" applyAlignment="1" applyProtection="1">
      <alignment horizontal="center"/>
      <protection locked="0"/>
    </xf>
    <xf numFmtId="20" fontId="171" fillId="38" borderId="77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8" fillId="0" borderId="73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166" fillId="0" borderId="0" xfId="0" applyFont="1" applyAlignment="1" applyProtection="1">
      <alignment vertical="top" wrapTex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wrapText="1"/>
      <protection/>
    </xf>
    <xf numFmtId="0" fontId="8" fillId="0" borderId="29" xfId="0" applyFont="1" applyBorder="1" applyAlignment="1" applyProtection="1">
      <alignment horizontal="left"/>
      <protection locked="0"/>
    </xf>
    <xf numFmtId="14" fontId="8" fillId="0" borderId="29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13" fillId="37" borderId="0" xfId="0" applyFont="1" applyFill="1" applyAlignment="1" applyProtection="1">
      <alignment/>
      <protection/>
    </xf>
    <xf numFmtId="0" fontId="8" fillId="37" borderId="29" xfId="0" applyFont="1" applyFill="1" applyBorder="1" applyAlignment="1" applyProtection="1">
      <alignment/>
      <protection/>
    </xf>
    <xf numFmtId="0" fontId="8" fillId="37" borderId="0" xfId="0" applyFont="1" applyFill="1" applyAlignment="1" applyProtection="1">
      <alignment vertical="top"/>
      <protection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top"/>
    </xf>
    <xf numFmtId="0" fontId="36" fillId="0" borderId="0" xfId="0" applyFont="1" applyBorder="1" applyAlignment="1" applyProtection="1">
      <alignment vertical="top"/>
      <protection/>
    </xf>
    <xf numFmtId="0" fontId="8" fillId="37" borderId="0" xfId="0" applyFont="1" applyFill="1" applyBorder="1" applyAlignment="1" applyProtection="1">
      <alignment vertical="top"/>
      <protection/>
    </xf>
    <xf numFmtId="2" fontId="14" fillId="41" borderId="88" xfId="0" applyNumberFormat="1" applyFont="1" applyFill="1" applyBorder="1" applyAlignment="1" applyProtection="1">
      <alignment horizontal="center"/>
      <protection locked="0"/>
    </xf>
    <xf numFmtId="2" fontId="14" fillId="41" borderId="89" xfId="0" applyNumberFormat="1" applyFont="1" applyFill="1" applyBorder="1" applyAlignment="1" applyProtection="1">
      <alignment horizontal="center"/>
      <protection locked="0"/>
    </xf>
    <xf numFmtId="0" fontId="161" fillId="0" borderId="0" xfId="0" applyFont="1" applyBorder="1" applyAlignment="1" applyProtection="1">
      <alignment horizontal="center" vertical="top"/>
      <protection/>
    </xf>
    <xf numFmtId="0" fontId="172" fillId="0" borderId="0" xfId="0" applyFont="1" applyAlignment="1">
      <alignment/>
    </xf>
    <xf numFmtId="0" fontId="0" fillId="45" borderId="0" xfId="0" applyFill="1" applyAlignment="1">
      <alignment/>
    </xf>
    <xf numFmtId="0" fontId="172" fillId="45" borderId="0" xfId="0" applyFont="1" applyFill="1" applyAlignment="1">
      <alignment horizontal="center" vertical="center" wrapText="1"/>
    </xf>
    <xf numFmtId="0" fontId="173" fillId="45" borderId="0" xfId="0" applyFont="1" applyFill="1" applyAlignment="1">
      <alignment horizontal="center" vertical="center" wrapText="1"/>
    </xf>
    <xf numFmtId="0" fontId="174" fillId="45" borderId="0" xfId="0" applyFont="1" applyFill="1" applyBorder="1" applyAlignment="1">
      <alignment/>
    </xf>
    <xf numFmtId="0" fontId="175" fillId="45" borderId="0" xfId="0" applyFont="1" applyFill="1" applyBorder="1" applyAlignment="1">
      <alignment vertical="top"/>
    </xf>
    <xf numFmtId="0" fontId="173" fillId="45" borderId="0" xfId="0" applyFont="1" applyFill="1" applyBorder="1" applyAlignment="1">
      <alignment vertical="top"/>
    </xf>
    <xf numFmtId="0" fontId="174" fillId="45" borderId="0" xfId="0" applyFont="1" applyFill="1" applyBorder="1" applyAlignment="1">
      <alignment vertical="top" wrapText="1"/>
    </xf>
    <xf numFmtId="0" fontId="174" fillId="45" borderId="0" xfId="0" applyFont="1" applyFill="1" applyBorder="1" applyAlignment="1">
      <alignment/>
    </xf>
    <xf numFmtId="0" fontId="174" fillId="45" borderId="0" xfId="0" applyFont="1" applyFill="1" applyBorder="1" applyAlignment="1">
      <alignment wrapText="1"/>
    </xf>
    <xf numFmtId="0" fontId="174" fillId="45" borderId="0" xfId="0" applyFont="1" applyFill="1" applyBorder="1" applyAlignment="1">
      <alignment vertical="top"/>
    </xf>
    <xf numFmtId="0" fontId="173" fillId="45" borderId="0" xfId="0" applyFont="1" applyFill="1" applyBorder="1" applyAlignment="1">
      <alignment vertical="top" wrapText="1"/>
    </xf>
    <xf numFmtId="0" fontId="53" fillId="45" borderId="0" xfId="0" applyFont="1" applyFill="1" applyAlignment="1">
      <alignment/>
    </xf>
    <xf numFmtId="0" fontId="174" fillId="45" borderId="0" xfId="0" applyFont="1" applyFill="1" applyBorder="1" applyAlignment="1">
      <alignment horizontal="left" vertical="top" wrapText="1"/>
    </xf>
    <xf numFmtId="0" fontId="174" fillId="45" borderId="0" xfId="0" applyFont="1" applyFill="1" applyAlignment="1">
      <alignment/>
    </xf>
    <xf numFmtId="0" fontId="53" fillId="0" borderId="0" xfId="0" applyFont="1" applyAlignment="1">
      <alignment/>
    </xf>
    <xf numFmtId="0" fontId="53" fillId="45" borderId="0" xfId="0" applyFont="1" applyFill="1" applyBorder="1" applyAlignment="1">
      <alignment/>
    </xf>
    <xf numFmtId="14" fontId="12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 shrinkToFit="1"/>
      <protection/>
    </xf>
    <xf numFmtId="0" fontId="9" fillId="0" borderId="90" xfId="0" applyFont="1" applyBorder="1" applyAlignment="1" applyProtection="1">
      <alignment vertical="center"/>
      <protection locked="0"/>
    </xf>
    <xf numFmtId="0" fontId="9" fillId="0" borderId="90" xfId="0" applyFont="1" applyBorder="1" applyAlignment="1" applyProtection="1">
      <alignment/>
      <protection locked="0"/>
    </xf>
    <xf numFmtId="0" fontId="35" fillId="0" borderId="90" xfId="0" applyFont="1" applyBorder="1" applyAlignment="1">
      <alignment/>
    </xf>
    <xf numFmtId="0" fontId="14" fillId="0" borderId="90" xfId="0" applyFont="1" applyBorder="1" applyAlignment="1">
      <alignment horizontal="left" vertical="center" indent="1"/>
    </xf>
    <xf numFmtId="0" fontId="17" fillId="0" borderId="90" xfId="0" applyFont="1" applyBorder="1" applyAlignment="1" applyProtection="1">
      <alignment/>
      <protection/>
    </xf>
    <xf numFmtId="0" fontId="8" fillId="0" borderId="90" xfId="0" applyFont="1" applyBorder="1" applyAlignment="1" applyProtection="1">
      <alignment/>
      <protection/>
    </xf>
    <xf numFmtId="0" fontId="8" fillId="0" borderId="90" xfId="0" applyFont="1" applyBorder="1" applyAlignment="1" applyProtection="1">
      <alignment/>
      <protection locked="0"/>
    </xf>
    <xf numFmtId="0" fontId="8" fillId="0" borderId="90" xfId="0" applyFont="1" applyBorder="1" applyAlignment="1" applyProtection="1">
      <alignment wrapText="1"/>
      <protection locked="0"/>
    </xf>
    <xf numFmtId="0" fontId="8" fillId="0" borderId="90" xfId="0" applyFont="1" applyBorder="1" applyAlignment="1" applyProtection="1">
      <alignment horizontal="left" indent="1"/>
      <protection locked="0"/>
    </xf>
    <xf numFmtId="0" fontId="8" fillId="0" borderId="90" xfId="0" applyFont="1" applyBorder="1" applyAlignment="1" applyProtection="1">
      <alignment/>
      <protection locked="0"/>
    </xf>
    <xf numFmtId="0" fontId="8" fillId="37" borderId="9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 locked="0"/>
    </xf>
    <xf numFmtId="0" fontId="176" fillId="0" borderId="0" xfId="0" applyFont="1" applyAlignment="1">
      <alignment/>
    </xf>
    <xf numFmtId="0" fontId="8" fillId="0" borderId="47" xfId="0" applyFont="1" applyFill="1" applyBorder="1" applyAlignment="1" applyProtection="1">
      <alignment horizontal="left"/>
      <protection/>
    </xf>
    <xf numFmtId="0" fontId="8" fillId="0" borderId="26" xfId="0" applyFont="1" applyFill="1" applyBorder="1" applyAlignment="1" applyProtection="1">
      <alignment horizontal="left"/>
      <protection/>
    </xf>
    <xf numFmtId="0" fontId="21" fillId="38" borderId="91" xfId="0" applyFont="1" applyFill="1" applyBorder="1" applyAlignment="1" applyProtection="1">
      <alignment horizontal="center" wrapText="1"/>
      <protection/>
    </xf>
    <xf numFmtId="0" fontId="177" fillId="0" borderId="0" xfId="0" applyFont="1" applyAlignment="1">
      <alignment/>
    </xf>
    <xf numFmtId="0" fontId="177" fillId="0" borderId="0" xfId="0" applyFont="1" applyAlignment="1">
      <alignment horizontal="center"/>
    </xf>
    <xf numFmtId="0" fontId="161" fillId="0" borderId="0" xfId="0" applyFont="1" applyBorder="1" applyAlignment="1" applyProtection="1">
      <alignment horizontal="center" vertical="top"/>
      <protection/>
    </xf>
    <xf numFmtId="186" fontId="0" fillId="0" borderId="0" xfId="0" applyNumberFormat="1" applyAlignment="1">
      <alignment/>
    </xf>
    <xf numFmtId="0" fontId="178" fillId="0" borderId="0" xfId="0" applyFont="1" applyAlignment="1">
      <alignment/>
    </xf>
    <xf numFmtId="2" fontId="0" fillId="0" borderId="0" xfId="0" applyNumberFormat="1" applyAlignment="1">
      <alignment horizontal="center"/>
    </xf>
    <xf numFmtId="46" fontId="0" fillId="0" borderId="0" xfId="0" applyNumberFormat="1" applyAlignment="1">
      <alignment/>
    </xf>
    <xf numFmtId="0" fontId="7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186" fontId="21" fillId="38" borderId="71" xfId="0" applyNumberFormat="1" applyFont="1" applyFill="1" applyBorder="1" applyAlignment="1" applyProtection="1">
      <alignment horizontal="center"/>
      <protection/>
    </xf>
    <xf numFmtId="186" fontId="12" fillId="40" borderId="72" xfId="0" applyNumberFormat="1" applyFont="1" applyFill="1" applyBorder="1" applyAlignment="1" applyProtection="1">
      <alignment horizontal="center"/>
      <protection/>
    </xf>
    <xf numFmtId="186" fontId="178" fillId="0" borderId="0" xfId="0" applyNumberFormat="1" applyFont="1" applyAlignment="1">
      <alignment/>
    </xf>
    <xf numFmtId="0" fontId="179" fillId="0" borderId="0" xfId="0" applyFont="1" applyAlignment="1">
      <alignment/>
    </xf>
    <xf numFmtId="0" fontId="166" fillId="2" borderId="90" xfId="0" applyFont="1" applyFill="1" applyBorder="1" applyAlignment="1" applyProtection="1">
      <alignment/>
      <protection/>
    </xf>
    <xf numFmtId="0" fontId="166" fillId="2" borderId="0" xfId="0" applyFont="1" applyFill="1" applyAlignment="1" applyProtection="1">
      <alignment/>
      <protection/>
    </xf>
    <xf numFmtId="172" fontId="10" fillId="0" borderId="47" xfId="0" applyNumberFormat="1" applyFont="1" applyBorder="1" applyAlignment="1" applyProtection="1">
      <alignment horizontal="center"/>
      <protection/>
    </xf>
    <xf numFmtId="172" fontId="10" fillId="0" borderId="27" xfId="0" applyNumberFormat="1" applyFont="1" applyBorder="1" applyAlignment="1" applyProtection="1">
      <alignment horizontal="center"/>
      <protection/>
    </xf>
    <xf numFmtId="182" fontId="0" fillId="0" borderId="0" xfId="0" applyNumberFormat="1" applyAlignment="1">
      <alignment horizontal="center"/>
    </xf>
    <xf numFmtId="165" fontId="177" fillId="0" borderId="0" xfId="0" applyNumberFormat="1" applyFont="1" applyAlignment="1">
      <alignment/>
    </xf>
    <xf numFmtId="165" fontId="177" fillId="0" borderId="0" xfId="0" applyNumberFormat="1" applyFont="1" applyAlignment="1">
      <alignment horizontal="center"/>
    </xf>
    <xf numFmtId="182" fontId="177" fillId="0" borderId="0" xfId="0" applyNumberFormat="1" applyFont="1" applyAlignment="1">
      <alignment horizontal="center"/>
    </xf>
    <xf numFmtId="0" fontId="13" fillId="42" borderId="92" xfId="0" applyFont="1" applyFill="1" applyBorder="1" applyAlignment="1" applyProtection="1">
      <alignment horizontal="center" vertical="center"/>
      <protection/>
    </xf>
    <xf numFmtId="2" fontId="13" fillId="42" borderId="93" xfId="0" applyNumberFormat="1" applyFont="1" applyFill="1" applyBorder="1" applyAlignment="1" applyProtection="1">
      <alignment horizontal="right"/>
      <protection/>
    </xf>
    <xf numFmtId="2" fontId="13" fillId="42" borderId="94" xfId="0" applyNumberFormat="1" applyFont="1" applyFill="1" applyBorder="1" applyAlignment="1" applyProtection="1">
      <alignment horizontal="right"/>
      <protection/>
    </xf>
    <xf numFmtId="0" fontId="91" fillId="0" borderId="95" xfId="0" applyFont="1" applyBorder="1" applyAlignment="1" applyProtection="1">
      <alignment/>
      <protection/>
    </xf>
    <xf numFmtId="2" fontId="13" fillId="37" borderId="59" xfId="0" applyNumberFormat="1" applyFont="1" applyFill="1" applyBorder="1" applyAlignment="1" applyProtection="1">
      <alignment horizontal="right"/>
      <protection/>
    </xf>
    <xf numFmtId="0" fontId="177" fillId="0" borderId="0" xfId="0" applyFont="1" applyAlignment="1">
      <alignment horizontal="left"/>
    </xf>
    <xf numFmtId="182" fontId="177" fillId="0" borderId="0" xfId="0" applyNumberFormat="1" applyFont="1" applyAlignment="1">
      <alignment horizontal="left"/>
    </xf>
    <xf numFmtId="0" fontId="180" fillId="0" borderId="0" xfId="0" applyFont="1" applyAlignment="1">
      <alignment/>
    </xf>
    <xf numFmtId="20" fontId="177" fillId="0" borderId="0" xfId="0" applyNumberFormat="1" applyFont="1" applyAlignment="1">
      <alignment/>
    </xf>
    <xf numFmtId="186" fontId="13" fillId="0" borderId="10" xfId="0" applyNumberFormat="1" applyFont="1" applyFill="1" applyBorder="1" applyAlignment="1" applyProtection="1">
      <alignment horizontal="right"/>
      <protection/>
    </xf>
    <xf numFmtId="49" fontId="13" fillId="39" borderId="29" xfId="0" applyNumberFormat="1" applyFont="1" applyFill="1" applyBorder="1" applyAlignment="1" applyProtection="1">
      <alignment horizontal="center" vertical="center"/>
      <protection locked="0"/>
    </xf>
    <xf numFmtId="2" fontId="12" fillId="38" borderId="96" xfId="0" applyNumberFormat="1" applyFont="1" applyFill="1" applyBorder="1" applyAlignment="1" applyProtection="1">
      <alignment horizontal="center"/>
      <protection/>
    </xf>
    <xf numFmtId="2" fontId="13" fillId="38" borderId="76" xfId="0" applyNumberFormat="1" applyFont="1" applyFill="1" applyBorder="1" applyAlignment="1" applyProtection="1">
      <alignment horizontal="center"/>
      <protection/>
    </xf>
    <xf numFmtId="2" fontId="181" fillId="42" borderId="10" xfId="0" applyNumberFormat="1" applyFont="1" applyFill="1" applyBorder="1" applyAlignment="1" applyProtection="1">
      <alignment horizontal="right"/>
      <protection/>
    </xf>
    <xf numFmtId="2" fontId="181" fillId="42" borderId="58" xfId="0" applyNumberFormat="1" applyFont="1" applyFill="1" applyBorder="1" applyAlignment="1" applyProtection="1">
      <alignment horizontal="right"/>
      <protection/>
    </xf>
    <xf numFmtId="2" fontId="13" fillId="42" borderId="97" xfId="42" applyNumberFormat="1" applyFont="1" applyFill="1" applyBorder="1" applyAlignment="1" applyProtection="1">
      <alignment horizontal="right"/>
      <protection/>
    </xf>
    <xf numFmtId="2" fontId="13" fillId="0" borderId="10" xfId="0" applyNumberFormat="1" applyFont="1" applyFill="1" applyBorder="1" applyAlignment="1" applyProtection="1">
      <alignment horizontal="right"/>
      <protection/>
    </xf>
    <xf numFmtId="2" fontId="12" fillId="43" borderId="17" xfId="0" applyNumberFormat="1" applyFont="1" applyFill="1" applyBorder="1" applyAlignment="1" applyProtection="1">
      <alignment horizontal="right"/>
      <protection/>
    </xf>
    <xf numFmtId="2" fontId="17" fillId="0" borderId="0" xfId="0" applyNumberFormat="1" applyFont="1" applyAlignment="1" applyProtection="1">
      <alignment/>
      <protection/>
    </xf>
    <xf numFmtId="0" fontId="182" fillId="0" borderId="0" xfId="0" applyFont="1" applyAlignment="1" applyProtection="1">
      <alignment horizontal="center"/>
      <protection/>
    </xf>
    <xf numFmtId="0" fontId="165" fillId="0" borderId="0" xfId="0" applyFont="1" applyAlignment="1" applyProtection="1">
      <alignment horizontal="left"/>
      <protection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83" fillId="0" borderId="0" xfId="0" applyFont="1" applyAlignment="1">
      <alignment/>
    </xf>
    <xf numFmtId="0" fontId="2" fillId="36" borderId="0" xfId="0" applyFont="1" applyFill="1" applyAlignment="1">
      <alignment horizontal="center" wrapText="1"/>
    </xf>
    <xf numFmtId="0" fontId="2" fillId="36" borderId="0" xfId="0" applyFont="1" applyFill="1" applyAlignment="1">
      <alignment wrapText="1"/>
    </xf>
    <xf numFmtId="1" fontId="18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20" fontId="180" fillId="0" borderId="0" xfId="0" applyNumberFormat="1" applyFont="1" applyAlignment="1">
      <alignment/>
    </xf>
    <xf numFmtId="21" fontId="2" fillId="0" borderId="0" xfId="0" applyNumberFormat="1" applyFont="1" applyAlignment="1">
      <alignment wrapText="1"/>
    </xf>
    <xf numFmtId="21" fontId="0" fillId="0" borderId="0" xfId="0" applyNumberFormat="1" applyAlignment="1">
      <alignment horizontal="center"/>
    </xf>
    <xf numFmtId="2" fontId="13" fillId="41" borderId="98" xfId="0" applyNumberFormat="1" applyFont="1" applyFill="1" applyBorder="1" applyAlignment="1" applyProtection="1">
      <alignment horizontal="center"/>
      <protection locked="0"/>
    </xf>
    <xf numFmtId="20" fontId="13" fillId="39" borderId="98" xfId="0" applyNumberFormat="1" applyFont="1" applyFill="1" applyBorder="1" applyAlignment="1" applyProtection="1">
      <alignment horizontal="center"/>
      <protection/>
    </xf>
    <xf numFmtId="20" fontId="13" fillId="39" borderId="99" xfId="0" applyNumberFormat="1" applyFont="1" applyFill="1" applyBorder="1" applyAlignment="1" applyProtection="1">
      <alignment horizontal="center"/>
      <protection/>
    </xf>
    <xf numFmtId="2" fontId="13" fillId="41" borderId="22" xfId="0" applyNumberFormat="1" applyFont="1" applyFill="1" applyBorder="1" applyAlignment="1" applyProtection="1">
      <alignment horizontal="center"/>
      <protection locked="0"/>
    </xf>
    <xf numFmtId="20" fontId="13" fillId="39" borderId="100" xfId="0" applyNumberFormat="1" applyFont="1" applyFill="1" applyBorder="1" applyAlignment="1" applyProtection="1">
      <alignment horizontal="center"/>
      <protection/>
    </xf>
    <xf numFmtId="20" fontId="2" fillId="36" borderId="0" xfId="0" applyNumberFormat="1" applyFont="1" applyFill="1" applyAlignment="1">
      <alignment horizontal="center"/>
    </xf>
    <xf numFmtId="0" fontId="2" fillId="36" borderId="0" xfId="0" applyFont="1" applyFill="1" applyAlignment="1">
      <alignment/>
    </xf>
    <xf numFmtId="46" fontId="61" fillId="36" borderId="0" xfId="0" applyNumberFormat="1" applyFont="1" applyFill="1" applyAlignment="1">
      <alignment horizontal="left" wrapText="1"/>
    </xf>
    <xf numFmtId="0" fontId="61" fillId="36" borderId="0" xfId="0" applyFont="1" applyFill="1" applyAlignment="1">
      <alignment wrapText="1"/>
    </xf>
    <xf numFmtId="2" fontId="184" fillId="38" borderId="101" xfId="0" applyNumberFormat="1" applyFont="1" applyFill="1" applyBorder="1" applyAlignment="1" applyProtection="1">
      <alignment horizontal="center"/>
      <protection/>
    </xf>
    <xf numFmtId="2" fontId="184" fillId="38" borderId="102" xfId="0" applyNumberFormat="1" applyFont="1" applyFill="1" applyBorder="1" applyAlignment="1" applyProtection="1">
      <alignment horizontal="center"/>
      <protection/>
    </xf>
    <xf numFmtId="2" fontId="184" fillId="38" borderId="103" xfId="0" applyNumberFormat="1" applyFont="1" applyFill="1" applyBorder="1" applyAlignment="1" applyProtection="1">
      <alignment horizontal="center"/>
      <protection/>
    </xf>
    <xf numFmtId="0" fontId="118" fillId="0" borderId="0" xfId="0" applyFont="1" applyBorder="1" applyAlignment="1" applyProtection="1">
      <alignment/>
      <protection hidden="1"/>
    </xf>
    <xf numFmtId="2" fontId="2" fillId="0" borderId="0" xfId="0" applyNumberFormat="1" applyFont="1" applyAlignment="1">
      <alignment horizontal="center" wrapText="1"/>
    </xf>
    <xf numFmtId="0" fontId="185" fillId="36" borderId="0" xfId="0" applyFont="1" applyFill="1" applyAlignment="1">
      <alignment wrapText="1"/>
    </xf>
    <xf numFmtId="20" fontId="185" fillId="36" borderId="0" xfId="0" applyNumberFormat="1" applyFont="1" applyFill="1" applyAlignment="1">
      <alignment/>
    </xf>
    <xf numFmtId="49" fontId="10" fillId="0" borderId="0" xfId="0" applyNumberFormat="1" applyFont="1" applyBorder="1" applyAlignment="1" applyProtection="1">
      <alignment horizontal="center"/>
      <protection/>
    </xf>
    <xf numFmtId="49" fontId="10" fillId="0" borderId="47" xfId="0" applyNumberFormat="1" applyFont="1" applyBorder="1" applyAlignment="1" applyProtection="1">
      <alignment horizontal="center"/>
      <protection/>
    </xf>
    <xf numFmtId="0" fontId="13" fillId="37" borderId="51" xfId="0" applyFont="1" applyFill="1" applyBorder="1" applyAlignment="1" applyProtection="1">
      <alignment horizontal="center" wrapText="1"/>
      <protection/>
    </xf>
    <xf numFmtId="0" fontId="13" fillId="38" borderId="104" xfId="0" applyFont="1" applyFill="1" applyBorder="1" applyAlignment="1" applyProtection="1">
      <alignment horizontal="center" wrapText="1"/>
      <protection/>
    </xf>
    <xf numFmtId="0" fontId="186" fillId="0" borderId="0" xfId="0" applyFont="1" applyAlignment="1" applyProtection="1">
      <alignment/>
      <protection/>
    </xf>
    <xf numFmtId="0" fontId="13" fillId="16" borderId="105" xfId="0" applyFont="1" applyFill="1" applyBorder="1" applyAlignment="1" applyProtection="1">
      <alignment horizontal="center" vertical="center"/>
      <protection/>
    </xf>
    <xf numFmtId="0" fontId="187" fillId="0" borderId="0" xfId="0" applyFont="1" applyAlignment="1">
      <alignment/>
    </xf>
    <xf numFmtId="0" fontId="185" fillId="36" borderId="0" xfId="0" applyFont="1" applyFill="1" applyAlignment="1">
      <alignment/>
    </xf>
    <xf numFmtId="0" fontId="177" fillId="36" borderId="0" xfId="0" applyFont="1" applyFill="1" applyAlignment="1">
      <alignment horizontal="center"/>
    </xf>
    <xf numFmtId="0" fontId="177" fillId="36" borderId="0" xfId="0" applyFont="1" applyFill="1" applyAlignment="1">
      <alignment/>
    </xf>
    <xf numFmtId="164" fontId="6" fillId="0" borderId="0" xfId="0" applyNumberFormat="1" applyFont="1" applyAlignment="1">
      <alignment horizontal="left"/>
    </xf>
    <xf numFmtId="0" fontId="64" fillId="0" borderId="0" xfId="0" applyFont="1" applyAlignment="1">
      <alignment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wrapText="1"/>
    </xf>
    <xf numFmtId="0" fontId="64" fillId="4" borderId="0" xfId="0" applyFont="1" applyFill="1" applyAlignment="1">
      <alignment horizontal="center" wrapText="1"/>
    </xf>
    <xf numFmtId="0" fontId="64" fillId="4" borderId="0" xfId="0" applyFont="1" applyFill="1" applyAlignment="1">
      <alignment wrapText="1"/>
    </xf>
    <xf numFmtId="0" fontId="64" fillId="6" borderId="0" xfId="0" applyFont="1" applyFill="1" applyAlignment="1">
      <alignment horizontal="center" wrapText="1"/>
    </xf>
    <xf numFmtId="0" fontId="64" fillId="6" borderId="0" xfId="0" applyFont="1" applyFill="1" applyAlignment="1">
      <alignment wrapText="1"/>
    </xf>
    <xf numFmtId="0" fontId="65" fillId="0" borderId="0" xfId="0" applyFont="1" applyAlignment="1">
      <alignment/>
    </xf>
    <xf numFmtId="20" fontId="65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46" fontId="65" fillId="0" borderId="0" xfId="0" applyNumberFormat="1" applyFont="1" applyAlignment="1">
      <alignment horizontal="center"/>
    </xf>
    <xf numFmtId="46" fontId="65" fillId="4" borderId="0" xfId="0" applyNumberFormat="1" applyFont="1" applyFill="1" applyAlignment="1">
      <alignment horizontal="center"/>
    </xf>
    <xf numFmtId="0" fontId="65" fillId="4" borderId="0" xfId="0" applyFont="1" applyFill="1" applyAlignment="1">
      <alignment horizontal="center"/>
    </xf>
    <xf numFmtId="46" fontId="65" fillId="6" borderId="0" xfId="0" applyNumberFormat="1" applyFont="1" applyFill="1" applyAlignment="1">
      <alignment horizontal="center"/>
    </xf>
    <xf numFmtId="0" fontId="65" fillId="6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5" fillId="35" borderId="0" xfId="0" applyFont="1" applyFill="1" applyAlignment="1">
      <alignment/>
    </xf>
    <xf numFmtId="14" fontId="65" fillId="0" borderId="0" xfId="0" applyNumberFormat="1" applyFont="1" applyAlignment="1">
      <alignment/>
    </xf>
    <xf numFmtId="182" fontId="65" fillId="0" borderId="0" xfId="0" applyNumberFormat="1" applyFont="1" applyAlignment="1">
      <alignment horizontal="center"/>
    </xf>
    <xf numFmtId="166" fontId="6" fillId="36" borderId="0" xfId="0" applyNumberFormat="1" applyFont="1" applyFill="1" applyAlignment="1">
      <alignment/>
    </xf>
    <xf numFmtId="166" fontId="6" fillId="36" borderId="0" xfId="0" applyNumberFormat="1" applyFont="1" applyFill="1" applyAlignment="1">
      <alignment horizontal="right"/>
    </xf>
    <xf numFmtId="0" fontId="188" fillId="0" borderId="0" xfId="0" applyFont="1" applyAlignment="1">
      <alignment/>
    </xf>
    <xf numFmtId="166" fontId="189" fillId="0" borderId="0" xfId="0" applyNumberFormat="1" applyFont="1" applyFill="1" applyAlignment="1">
      <alignment horizontal="right"/>
    </xf>
    <xf numFmtId="186" fontId="0" fillId="0" borderId="0" xfId="0" applyNumberForma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5" fontId="7" fillId="0" borderId="31" xfId="58" applyNumberFormat="1" applyFont="1" applyFill="1" applyBorder="1" applyAlignment="1" applyProtection="1">
      <alignment horizontal="center"/>
      <protection locked="0"/>
    </xf>
    <xf numFmtId="2" fontId="0" fillId="36" borderId="0" xfId="0" applyNumberFormat="1" applyFill="1" applyAlignment="1">
      <alignment horizontal="center"/>
    </xf>
    <xf numFmtId="2" fontId="2" fillId="36" borderId="0" xfId="0" applyNumberFormat="1" applyFont="1" applyFill="1" applyAlignment="1">
      <alignment horizontal="right"/>
    </xf>
    <xf numFmtId="0" fontId="190" fillId="0" borderId="0" xfId="0" applyFont="1" applyAlignment="1">
      <alignment/>
    </xf>
    <xf numFmtId="46" fontId="0" fillId="4" borderId="0" xfId="0" applyNumberFormat="1" applyFont="1" applyFill="1" applyAlignment="1">
      <alignment horizontal="center"/>
    </xf>
    <xf numFmtId="2" fontId="13" fillId="37" borderId="98" xfId="0" applyNumberFormat="1" applyFont="1" applyFill="1" applyBorder="1" applyAlignment="1" applyProtection="1">
      <alignment horizontal="center"/>
      <protection/>
    </xf>
    <xf numFmtId="20" fontId="12" fillId="37" borderId="17" xfId="0" applyNumberFormat="1" applyFont="1" applyFill="1" applyBorder="1" applyAlignment="1" applyProtection="1">
      <alignment horizontal="center"/>
      <protection/>
    </xf>
    <xf numFmtId="18" fontId="0" fillId="0" borderId="0" xfId="0" applyNumberFormat="1" applyAlignment="1">
      <alignment horizontal="center"/>
    </xf>
    <xf numFmtId="0" fontId="64" fillId="0" borderId="0" xfId="0" applyFont="1" applyAlignment="1">
      <alignment horizontal="center"/>
    </xf>
    <xf numFmtId="186" fontId="65" fillId="0" borderId="0" xfId="0" applyNumberFormat="1" applyFont="1" applyAlignment="1">
      <alignment/>
    </xf>
    <xf numFmtId="49" fontId="13" fillId="0" borderId="1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Alignment="1">
      <alignment/>
    </xf>
    <xf numFmtId="0" fontId="191" fillId="34" borderId="106" xfId="0" applyFont="1" applyFill="1" applyBorder="1" applyAlignment="1">
      <alignment horizontal="center"/>
    </xf>
    <xf numFmtId="0" fontId="192" fillId="29" borderId="10" xfId="49" applyFont="1" applyBorder="1" applyAlignment="1">
      <alignment/>
    </xf>
    <xf numFmtId="166" fontId="193" fillId="0" borderId="0" xfId="0" applyNumberFormat="1" applyFont="1" applyAlignment="1">
      <alignment horizontal="right"/>
    </xf>
    <xf numFmtId="0" fontId="193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194" fillId="29" borderId="10" xfId="49" applyFont="1" applyBorder="1" applyAlignment="1">
      <alignment/>
    </xf>
    <xf numFmtId="0" fontId="195" fillId="0" borderId="0" xfId="0" applyFont="1" applyAlignment="1" applyProtection="1">
      <alignment/>
      <protection/>
    </xf>
    <xf numFmtId="0" fontId="173" fillId="0" borderId="0" xfId="0" applyFont="1" applyAlignment="1">
      <alignment horizontal="center" vertical="center" wrapText="1"/>
    </xf>
    <xf numFmtId="0" fontId="174" fillId="45" borderId="0" xfId="0" applyFont="1" applyFill="1" applyBorder="1" applyAlignment="1">
      <alignment horizontal="left" vertical="top" wrapText="1"/>
    </xf>
    <xf numFmtId="0" fontId="168" fillId="0" borderId="0" xfId="0" applyFont="1" applyAlignment="1">
      <alignment horizontal="left" vertical="top" wrapText="1"/>
    </xf>
    <xf numFmtId="0" fontId="44" fillId="0" borderId="0" xfId="54" applyFont="1" applyAlignment="1" applyProtection="1">
      <alignment vertical="top"/>
      <protection locked="0"/>
    </xf>
    <xf numFmtId="0" fontId="196" fillId="0" borderId="0" xfId="54" applyFont="1" applyAlignment="1" applyProtection="1">
      <alignment vertical="top"/>
      <protection locked="0"/>
    </xf>
    <xf numFmtId="0" fontId="179" fillId="0" borderId="0" xfId="0" applyFont="1" applyAlignment="1">
      <alignment horizontal="left" wrapText="1"/>
    </xf>
    <xf numFmtId="188" fontId="6" fillId="0" borderId="26" xfId="0" applyNumberFormat="1" applyFont="1" applyBorder="1" applyAlignment="1">
      <alignment horizontal="left"/>
    </xf>
    <xf numFmtId="188" fontId="6" fillId="0" borderId="47" xfId="0" applyNumberFormat="1" applyFont="1" applyBorder="1" applyAlignment="1">
      <alignment horizontal="left"/>
    </xf>
    <xf numFmtId="0" fontId="14" fillId="0" borderId="47" xfId="0" applyFont="1" applyBorder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/>
    </xf>
    <xf numFmtId="0" fontId="21" fillId="0" borderId="107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3" fillId="16" borderId="108" xfId="0" applyFont="1" applyFill="1" applyBorder="1" applyAlignment="1" applyProtection="1">
      <alignment horizontal="center" vertical="center"/>
      <protection/>
    </xf>
    <xf numFmtId="0" fontId="13" fillId="16" borderId="61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7" fillId="0" borderId="109" xfId="0" applyFont="1" applyBorder="1" applyAlignment="1">
      <alignment horizontal="center"/>
    </xf>
    <xf numFmtId="0" fontId="7" fillId="0" borderId="110" xfId="0" applyFont="1" applyBorder="1" applyAlignment="1">
      <alignment horizontal="center"/>
    </xf>
    <xf numFmtId="0" fontId="6" fillId="4" borderId="19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/>
    </xf>
    <xf numFmtId="0" fontId="6" fillId="4" borderId="20" xfId="0" applyFont="1" applyFill="1" applyBorder="1" applyAlignment="1">
      <alignment horizontal="left" vertical="top"/>
    </xf>
    <xf numFmtId="0" fontId="6" fillId="4" borderId="19" xfId="0" applyFont="1" applyFill="1" applyBorder="1" applyAlignment="1">
      <alignment horizontal="left" vertical="top"/>
    </xf>
    <xf numFmtId="0" fontId="192" fillId="0" borderId="0" xfId="0" applyFont="1" applyAlignment="1" applyProtection="1">
      <alignment horizontal="left" vertical="top" wrapText="1"/>
      <protection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left"/>
    </xf>
    <xf numFmtId="0" fontId="8" fillId="46" borderId="68" xfId="0" applyFont="1" applyFill="1" applyBorder="1" applyAlignment="1">
      <alignment horizontal="center" shrinkToFit="1"/>
    </xf>
    <xf numFmtId="0" fontId="6" fillId="0" borderId="106" xfId="0" applyFont="1" applyBorder="1" applyAlignment="1">
      <alignment horizontal="center" shrinkToFit="1"/>
    </xf>
    <xf numFmtId="0" fontId="13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12" fillId="0" borderId="0" xfId="0" applyFont="1" applyAlignment="1">
      <alignment horizontal="center" vertical="center"/>
    </xf>
    <xf numFmtId="188" fontId="13" fillId="16" borderId="23" xfId="0" applyNumberFormat="1" applyFont="1" applyFill="1" applyBorder="1" applyAlignment="1" applyProtection="1">
      <alignment horizontal="center" vertical="center"/>
      <protection locked="0"/>
    </xf>
    <xf numFmtId="188" fontId="13" fillId="16" borderId="25" xfId="0" applyNumberFormat="1" applyFont="1" applyFill="1" applyBorder="1" applyAlignment="1" applyProtection="1">
      <alignment horizontal="center" vertical="center"/>
      <protection locked="0"/>
    </xf>
    <xf numFmtId="188" fontId="6" fillId="16" borderId="28" xfId="0" applyNumberFormat="1" applyFont="1" applyFill="1" applyBorder="1" applyAlignment="1" applyProtection="1">
      <alignment horizontal="center" vertical="center"/>
      <protection locked="0"/>
    </xf>
    <xf numFmtId="188" fontId="6" fillId="16" borderId="57" xfId="0" applyNumberFormat="1" applyFont="1" applyFill="1" applyBorder="1" applyAlignment="1" applyProtection="1">
      <alignment horizontal="center" vertical="center"/>
      <protection locked="0"/>
    </xf>
    <xf numFmtId="0" fontId="8" fillId="16" borderId="23" xfId="0" applyFont="1" applyFill="1" applyBorder="1" applyAlignment="1">
      <alignment horizontal="center"/>
    </xf>
    <xf numFmtId="0" fontId="8" fillId="16" borderId="24" xfId="0" applyFont="1" applyFill="1" applyBorder="1" applyAlignment="1">
      <alignment horizontal="center"/>
    </xf>
    <xf numFmtId="0" fontId="8" fillId="16" borderId="25" xfId="0" applyFont="1" applyFill="1" applyBorder="1" applyAlignment="1">
      <alignment horizontal="center"/>
    </xf>
    <xf numFmtId="0" fontId="29" fillId="4" borderId="19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20" xfId="0" applyFont="1" applyFill="1" applyBorder="1" applyAlignment="1">
      <alignment horizontal="left" vertical="center" wrapText="1"/>
    </xf>
    <xf numFmtId="0" fontId="29" fillId="4" borderId="26" xfId="0" applyFont="1" applyFill="1" applyBorder="1" applyAlignment="1">
      <alignment horizontal="left" vertical="center" wrapText="1"/>
    </xf>
    <xf numFmtId="0" fontId="29" fillId="4" borderId="47" xfId="0" applyFont="1" applyFill="1" applyBorder="1" applyAlignment="1">
      <alignment horizontal="left" vertical="center" wrapText="1"/>
    </xf>
    <xf numFmtId="0" fontId="29" fillId="4" borderId="27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171" fontId="7" fillId="0" borderId="29" xfId="0" applyNumberFormat="1" applyFont="1" applyBorder="1" applyAlignment="1">
      <alignment horizontal="left"/>
    </xf>
    <xf numFmtId="0" fontId="36" fillId="0" borderId="0" xfId="0" applyFont="1" applyBorder="1" applyAlignment="1" applyProtection="1">
      <alignment horizontal="center" vertical="top"/>
      <protection/>
    </xf>
    <xf numFmtId="0" fontId="18" fillId="37" borderId="111" xfId="0" applyFont="1" applyFill="1" applyBorder="1" applyAlignment="1" applyProtection="1">
      <alignment horizontal="left" vertical="top" wrapText="1"/>
      <protection/>
    </xf>
    <xf numFmtId="0" fontId="8" fillId="37" borderId="107" xfId="0" applyFont="1" applyFill="1" applyBorder="1" applyAlignment="1" applyProtection="1">
      <alignment horizontal="left" vertical="top"/>
      <protection/>
    </xf>
    <xf numFmtId="0" fontId="8" fillId="37" borderId="112" xfId="0" applyFont="1" applyFill="1" applyBorder="1" applyAlignment="1" applyProtection="1">
      <alignment horizontal="left" vertical="top"/>
      <protection/>
    </xf>
    <xf numFmtId="0" fontId="8" fillId="37" borderId="15" xfId="0" applyFont="1" applyFill="1" applyBorder="1" applyAlignment="1" applyProtection="1">
      <alignment horizontal="left" vertical="top"/>
      <protection/>
    </xf>
    <xf numFmtId="0" fontId="8" fillId="37" borderId="0" xfId="0" applyFont="1" applyFill="1" applyBorder="1" applyAlignment="1" applyProtection="1">
      <alignment horizontal="left" vertical="top"/>
      <protection/>
    </xf>
    <xf numFmtId="0" fontId="8" fillId="37" borderId="16" xfId="0" applyFont="1" applyFill="1" applyBorder="1" applyAlignment="1" applyProtection="1">
      <alignment horizontal="left" vertical="top"/>
      <protection/>
    </xf>
    <xf numFmtId="0" fontId="8" fillId="37" borderId="113" xfId="0" applyFont="1" applyFill="1" applyBorder="1" applyAlignment="1" applyProtection="1">
      <alignment horizontal="left" vertical="top"/>
      <protection/>
    </xf>
    <xf numFmtId="0" fontId="8" fillId="37" borderId="29" xfId="0" applyFont="1" applyFill="1" applyBorder="1" applyAlignment="1" applyProtection="1">
      <alignment horizontal="left" vertical="top"/>
      <protection/>
    </xf>
    <xf numFmtId="0" fontId="8" fillId="37" borderId="114" xfId="0" applyFont="1" applyFill="1" applyBorder="1" applyAlignment="1" applyProtection="1">
      <alignment horizontal="left" vertical="top"/>
      <protection/>
    </xf>
    <xf numFmtId="0" fontId="6" fillId="0" borderId="111" xfId="0" applyFont="1" applyFill="1" applyBorder="1" applyAlignment="1" applyProtection="1">
      <alignment horizontal="left" vertical="top" wrapText="1"/>
      <protection/>
    </xf>
    <xf numFmtId="0" fontId="6" fillId="0" borderId="107" xfId="0" applyFont="1" applyFill="1" applyBorder="1" applyAlignment="1" applyProtection="1">
      <alignment horizontal="left" vertical="top" wrapText="1"/>
      <protection/>
    </xf>
    <xf numFmtId="0" fontId="6" fillId="0" borderId="112" xfId="0" applyFont="1" applyFill="1" applyBorder="1" applyAlignment="1" applyProtection="1">
      <alignment horizontal="left" vertical="top" wrapText="1"/>
      <protection/>
    </xf>
    <xf numFmtId="0" fontId="6" fillId="0" borderId="15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16" xfId="0" applyFont="1" applyFill="1" applyBorder="1" applyAlignment="1" applyProtection="1">
      <alignment horizontal="left" vertical="top" wrapText="1"/>
      <protection/>
    </xf>
    <xf numFmtId="0" fontId="6" fillId="0" borderId="113" xfId="0" applyFont="1" applyFill="1" applyBorder="1" applyAlignment="1" applyProtection="1">
      <alignment horizontal="left" vertical="top" wrapText="1"/>
      <protection/>
    </xf>
    <xf numFmtId="0" fontId="6" fillId="0" borderId="29" xfId="0" applyFont="1" applyFill="1" applyBorder="1" applyAlignment="1" applyProtection="1">
      <alignment horizontal="left" vertical="top" wrapText="1"/>
      <protection/>
    </xf>
    <xf numFmtId="0" fontId="6" fillId="0" borderId="114" xfId="0" applyFont="1" applyFill="1" applyBorder="1" applyAlignment="1" applyProtection="1">
      <alignment horizontal="left" vertical="top" wrapText="1"/>
      <protection/>
    </xf>
    <xf numFmtId="14" fontId="13" fillId="39" borderId="10" xfId="0" applyNumberFormat="1" applyFont="1" applyFill="1" applyBorder="1" applyAlignment="1" applyProtection="1">
      <alignment horizontal="center" vertical="center"/>
      <protection/>
    </xf>
    <xf numFmtId="14" fontId="197" fillId="0" borderId="112" xfId="0" applyNumberFormat="1" applyFont="1" applyFill="1" applyBorder="1" applyAlignment="1" applyProtection="1">
      <alignment horizontal="center" vertical="center"/>
      <protection/>
    </xf>
    <xf numFmtId="14" fontId="197" fillId="0" borderId="111" xfId="0" applyNumberFormat="1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/>
      <protection locked="0"/>
    </xf>
    <xf numFmtId="0" fontId="7" fillId="0" borderId="115" xfId="0" applyFont="1" applyFill="1" applyBorder="1" applyAlignment="1" applyProtection="1">
      <alignment horizontal="left"/>
      <protection locked="0"/>
    </xf>
    <xf numFmtId="0" fontId="8" fillId="0" borderId="111" xfId="0" applyFont="1" applyBorder="1" applyAlignment="1" applyProtection="1">
      <alignment horizontal="left" vertical="top" wrapText="1"/>
      <protection locked="0"/>
    </xf>
    <xf numFmtId="0" fontId="8" fillId="0" borderId="107" xfId="0" applyFont="1" applyBorder="1" applyAlignment="1" applyProtection="1">
      <alignment horizontal="left" vertical="top" wrapText="1"/>
      <protection locked="0"/>
    </xf>
    <xf numFmtId="0" fontId="8" fillId="0" borderId="112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113" xfId="0" applyFont="1" applyBorder="1" applyAlignment="1" applyProtection="1">
      <alignment horizontal="left" vertical="top" wrapText="1"/>
      <protection locked="0"/>
    </xf>
    <xf numFmtId="0" fontId="8" fillId="0" borderId="29" xfId="0" applyFont="1" applyBorder="1" applyAlignment="1" applyProtection="1">
      <alignment horizontal="left" vertical="top" wrapText="1"/>
      <protection locked="0"/>
    </xf>
    <xf numFmtId="0" fontId="8" fillId="0" borderId="114" xfId="0" applyFont="1" applyBorder="1" applyAlignment="1" applyProtection="1">
      <alignment horizontal="left" vertical="top" wrapText="1"/>
      <protection locked="0"/>
    </xf>
    <xf numFmtId="2" fontId="21" fillId="38" borderId="116" xfId="0" applyNumberFormat="1" applyFont="1" applyFill="1" applyBorder="1" applyAlignment="1" applyProtection="1">
      <alignment horizontal="left" vertical="center"/>
      <protection/>
    </xf>
    <xf numFmtId="2" fontId="21" fillId="38" borderId="117" xfId="0" applyNumberFormat="1" applyFont="1" applyFill="1" applyBorder="1" applyAlignment="1" applyProtection="1">
      <alignment horizontal="left" vertical="center"/>
      <protection/>
    </xf>
    <xf numFmtId="0" fontId="21" fillId="38" borderId="118" xfId="0" applyFont="1" applyFill="1" applyBorder="1" applyAlignment="1" applyProtection="1">
      <alignment horizontal="center" wrapText="1"/>
      <protection/>
    </xf>
    <xf numFmtId="0" fontId="21" fillId="38" borderId="119" xfId="0" applyFont="1" applyFill="1" applyBorder="1" applyAlignment="1" applyProtection="1">
      <alignment horizontal="center" wrapText="1"/>
      <protection/>
    </xf>
    <xf numFmtId="0" fontId="161" fillId="0" borderId="0" xfId="0" applyFont="1" applyBorder="1" applyAlignment="1" applyProtection="1">
      <alignment horizontal="center" vertical="top"/>
      <protection/>
    </xf>
    <xf numFmtId="0" fontId="21" fillId="39" borderId="18" xfId="0" applyFont="1" applyFill="1" applyBorder="1" applyAlignment="1" applyProtection="1">
      <alignment horizontal="center" shrinkToFit="1"/>
      <protection/>
    </xf>
    <xf numFmtId="0" fontId="21" fillId="39" borderId="115" xfId="0" applyFont="1" applyFill="1" applyBorder="1" applyAlignment="1" applyProtection="1">
      <alignment horizontal="center" shrinkToFit="1"/>
      <protection/>
    </xf>
    <xf numFmtId="0" fontId="21" fillId="39" borderId="120" xfId="0" applyFont="1" applyFill="1" applyBorder="1" applyAlignment="1" applyProtection="1">
      <alignment horizontal="center" shrinkToFit="1"/>
      <protection/>
    </xf>
    <xf numFmtId="0" fontId="21" fillId="39" borderId="18" xfId="0" applyFont="1" applyFill="1" applyBorder="1" applyAlignment="1" applyProtection="1">
      <alignment horizontal="center" vertical="top" shrinkToFit="1"/>
      <protection/>
    </xf>
    <xf numFmtId="0" fontId="21" fillId="39" borderId="115" xfId="0" applyFont="1" applyFill="1" applyBorder="1" applyAlignment="1" applyProtection="1">
      <alignment horizontal="center" vertical="top" shrinkToFit="1"/>
      <protection/>
    </xf>
    <xf numFmtId="0" fontId="21" fillId="39" borderId="120" xfId="0" applyFont="1" applyFill="1" applyBorder="1" applyAlignment="1" applyProtection="1">
      <alignment horizontal="center" vertical="top" shrinkToFit="1"/>
      <protection/>
    </xf>
    <xf numFmtId="0" fontId="21" fillId="38" borderId="121" xfId="0" applyFont="1" applyFill="1" applyBorder="1" applyAlignment="1" applyProtection="1">
      <alignment horizontal="center" shrinkToFit="1"/>
      <protection/>
    </xf>
    <xf numFmtId="0" fontId="21" fillId="38" borderId="120" xfId="0" applyFont="1" applyFill="1" applyBorder="1" applyAlignment="1" applyProtection="1">
      <alignment horizontal="center" shrinkToFit="1"/>
      <protection/>
    </xf>
    <xf numFmtId="0" fontId="171" fillId="0" borderId="0" xfId="0" applyFont="1" applyBorder="1" applyAlignment="1" applyProtection="1">
      <alignment horizontal="left" vertical="top" wrapText="1"/>
      <protection/>
    </xf>
    <xf numFmtId="0" fontId="171" fillId="0" borderId="0" xfId="0" applyFont="1" applyAlignment="1" applyProtection="1">
      <alignment horizontal="left" vertical="top" wrapText="1"/>
      <protection/>
    </xf>
    <xf numFmtId="0" fontId="171" fillId="0" borderId="90" xfId="0" applyFont="1" applyBorder="1" applyAlignment="1" applyProtection="1">
      <alignment horizontal="left" vertical="top" wrapText="1"/>
      <protection/>
    </xf>
    <xf numFmtId="0" fontId="198" fillId="0" borderId="0" xfId="54" applyFont="1" applyBorder="1" applyAlignment="1" applyProtection="1">
      <alignment horizontal="left" vertical="top" wrapText="1"/>
      <protection locked="0"/>
    </xf>
    <xf numFmtId="0" fontId="191" fillId="0" borderId="0" xfId="0" applyFont="1" applyBorder="1" applyAlignment="1" applyProtection="1">
      <alignment horizontal="left" vertical="top" wrapText="1"/>
      <protection/>
    </xf>
    <xf numFmtId="0" fontId="191" fillId="0" borderId="0" xfId="0" applyFont="1" applyBorder="1" applyAlignment="1" applyProtection="1">
      <alignment horizontal="left" vertical="top"/>
      <protection/>
    </xf>
    <xf numFmtId="0" fontId="191" fillId="0" borderId="90" xfId="0" applyFont="1" applyBorder="1" applyAlignment="1" applyProtection="1">
      <alignment horizontal="left" wrapText="1"/>
      <protection/>
    </xf>
    <xf numFmtId="0" fontId="191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21" fillId="38" borderId="122" xfId="0" applyFont="1" applyFill="1" applyBorder="1" applyAlignment="1" applyProtection="1">
      <alignment horizontal="left" vertical="top" wrapText="1"/>
      <protection/>
    </xf>
    <xf numFmtId="0" fontId="21" fillId="38" borderId="123" xfId="0" applyFont="1" applyFill="1" applyBorder="1" applyAlignment="1" applyProtection="1">
      <alignment horizontal="left" vertical="top" wrapText="1"/>
      <protection/>
    </xf>
    <xf numFmtId="0" fontId="19" fillId="38" borderId="124" xfId="0" applyFont="1" applyFill="1" applyBorder="1" applyAlignment="1" applyProtection="1">
      <alignment horizontal="right"/>
      <protection/>
    </xf>
    <xf numFmtId="0" fontId="19" fillId="38" borderId="125" xfId="0" applyFont="1" applyFill="1" applyBorder="1" applyAlignment="1" applyProtection="1">
      <alignment horizontal="right"/>
      <protection/>
    </xf>
    <xf numFmtId="0" fontId="12" fillId="40" borderId="26" xfId="0" applyFont="1" applyFill="1" applyBorder="1" applyAlignment="1" applyProtection="1">
      <alignment horizontal="right"/>
      <protection/>
    </xf>
    <xf numFmtId="0" fontId="12" fillId="40" borderId="47" xfId="0" applyFont="1" applyFill="1" applyBorder="1" applyAlignment="1" applyProtection="1">
      <alignment horizontal="right"/>
      <protection/>
    </xf>
    <xf numFmtId="0" fontId="12" fillId="40" borderId="126" xfId="0" applyFont="1" applyFill="1" applyBorder="1" applyAlignment="1" applyProtection="1">
      <alignment horizontal="right"/>
      <protection/>
    </xf>
    <xf numFmtId="2" fontId="21" fillId="40" borderId="127" xfId="0" applyNumberFormat="1" applyFont="1" applyFill="1" applyBorder="1" applyAlignment="1" applyProtection="1">
      <alignment horizontal="left" vertical="center"/>
      <protection/>
    </xf>
    <xf numFmtId="2" fontId="21" fillId="40" borderId="128" xfId="0" applyNumberFormat="1" applyFont="1" applyFill="1" applyBorder="1" applyAlignment="1" applyProtection="1">
      <alignment horizontal="left" vertical="center"/>
      <protection/>
    </xf>
    <xf numFmtId="14" fontId="8" fillId="37" borderId="29" xfId="0" applyNumberFormat="1" applyFont="1" applyFill="1" applyBorder="1" applyAlignment="1" applyProtection="1">
      <alignment horizontal="center"/>
      <protection/>
    </xf>
    <xf numFmtId="0" fontId="21" fillId="38" borderId="129" xfId="0" applyFont="1" applyFill="1" applyBorder="1" applyAlignment="1" applyProtection="1">
      <alignment horizontal="left" wrapText="1"/>
      <protection/>
    </xf>
    <xf numFmtId="0" fontId="21" fillId="38" borderId="130" xfId="0" applyFont="1" applyFill="1" applyBorder="1" applyAlignment="1" applyProtection="1">
      <alignment horizontal="left" wrapText="1"/>
      <protection/>
    </xf>
    <xf numFmtId="14" fontId="12" fillId="39" borderId="47" xfId="0" applyNumberFormat="1" applyFont="1" applyFill="1" applyBorder="1" applyAlignment="1" applyProtection="1">
      <alignment horizontal="center"/>
      <protection locked="0"/>
    </xf>
    <xf numFmtId="0" fontId="21" fillId="39" borderId="47" xfId="0" applyFont="1" applyFill="1" applyBorder="1" applyAlignment="1" applyProtection="1">
      <alignment horizontal="center"/>
      <protection locked="0"/>
    </xf>
    <xf numFmtId="14" fontId="21" fillId="39" borderId="115" xfId="0" applyNumberFormat="1" applyFont="1" applyFill="1" applyBorder="1" applyAlignment="1" applyProtection="1">
      <alignment horizontal="center"/>
      <protection locked="0"/>
    </xf>
    <xf numFmtId="14" fontId="21" fillId="39" borderId="47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right"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Fill="1" applyAlignment="1" applyProtection="1">
      <alignment horizontal="right"/>
      <protection/>
    </xf>
    <xf numFmtId="0" fontId="21" fillId="0" borderId="0" xfId="0" applyFont="1" applyFill="1" applyBorder="1" applyAlignment="1" applyProtection="1">
      <alignment horizontal="right"/>
      <protection locked="0"/>
    </xf>
    <xf numFmtId="49" fontId="7" fillId="0" borderId="47" xfId="0" applyNumberFormat="1" applyFont="1" applyFill="1" applyBorder="1" applyAlignment="1" applyProtection="1">
      <alignment horizontal="left"/>
      <protection locked="0"/>
    </xf>
    <xf numFmtId="49" fontId="7" fillId="0" borderId="115" xfId="0" applyNumberFormat="1" applyFont="1" applyFill="1" applyBorder="1" applyAlignment="1" applyProtection="1">
      <alignment horizontal="left"/>
      <protection locked="0"/>
    </xf>
    <xf numFmtId="0" fontId="7" fillId="0" borderId="111" xfId="0" applyFont="1" applyBorder="1" applyAlignment="1" applyProtection="1">
      <alignment horizontal="left" vertical="top" wrapText="1"/>
      <protection/>
    </xf>
    <xf numFmtId="0" fontId="7" fillId="0" borderId="107" xfId="0" applyFont="1" applyBorder="1" applyAlignment="1" applyProtection="1">
      <alignment horizontal="left" vertical="top" wrapText="1"/>
      <protection/>
    </xf>
    <xf numFmtId="0" fontId="7" fillId="0" borderId="112" xfId="0" applyFont="1" applyBorder="1" applyAlignment="1" applyProtection="1">
      <alignment horizontal="left" vertical="top" wrapText="1"/>
      <protection/>
    </xf>
    <xf numFmtId="0" fontId="7" fillId="0" borderId="15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6" xfId="0" applyFont="1" applyBorder="1" applyAlignment="1" applyProtection="1">
      <alignment horizontal="left" vertical="top" wrapText="1"/>
      <protection/>
    </xf>
    <xf numFmtId="0" fontId="7" fillId="0" borderId="113" xfId="0" applyFont="1" applyBorder="1" applyAlignment="1" applyProtection="1">
      <alignment horizontal="left" vertical="top" wrapText="1"/>
      <protection/>
    </xf>
    <xf numFmtId="0" fontId="7" fillId="0" borderId="29" xfId="0" applyFont="1" applyBorder="1" applyAlignment="1" applyProtection="1">
      <alignment horizontal="left" vertical="top" wrapText="1"/>
      <protection/>
    </xf>
    <xf numFmtId="0" fontId="7" fillId="0" borderId="114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7" fillId="39" borderId="115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/>
    </xf>
    <xf numFmtId="0" fontId="7" fillId="39" borderId="47" xfId="0" applyFont="1" applyFill="1" applyBorder="1" applyAlignment="1" applyProtection="1">
      <alignment horizontal="center"/>
      <protection locked="0"/>
    </xf>
    <xf numFmtId="0" fontId="7" fillId="39" borderId="27" xfId="0" applyFont="1" applyFill="1" applyBorder="1" applyAlignment="1" applyProtection="1">
      <alignment horizontal="center"/>
      <protection locked="0"/>
    </xf>
    <xf numFmtId="0" fontId="21" fillId="47" borderId="18" xfId="0" applyFont="1" applyFill="1" applyBorder="1" applyAlignment="1" applyProtection="1">
      <alignment horizontal="center"/>
      <protection/>
    </xf>
    <xf numFmtId="0" fontId="21" fillId="47" borderId="115" xfId="0" applyFont="1" applyFill="1" applyBorder="1" applyAlignment="1" applyProtection="1">
      <alignment horizontal="center"/>
      <protection/>
    </xf>
    <xf numFmtId="0" fontId="21" fillId="47" borderId="63" xfId="0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right"/>
      <protection/>
    </xf>
    <xf numFmtId="0" fontId="7" fillId="0" borderId="94" xfId="0" applyFont="1" applyFill="1" applyBorder="1" applyAlignment="1" applyProtection="1">
      <alignment horizontal="left"/>
      <protection locked="0"/>
    </xf>
    <xf numFmtId="0" fontId="166" fillId="0" borderId="0" xfId="0" applyFont="1" applyAlignment="1" applyProtection="1">
      <alignment horizontal="left" wrapText="1"/>
      <protection/>
    </xf>
    <xf numFmtId="0" fontId="165" fillId="0" borderId="107" xfId="0" applyFont="1" applyBorder="1" applyAlignment="1" applyProtection="1">
      <alignment horizontal="center" vertical="top"/>
      <protection/>
    </xf>
    <xf numFmtId="0" fontId="171" fillId="0" borderId="0" xfId="0" applyFont="1" applyBorder="1" applyAlignment="1" applyProtection="1">
      <alignment horizontal="left" vertical="top" wrapText="1"/>
      <protection locked="0"/>
    </xf>
    <xf numFmtId="0" fontId="171" fillId="0" borderId="0" xfId="0" applyFont="1" applyAlignment="1" applyProtection="1">
      <alignment horizontal="left" vertical="top" wrapText="1"/>
      <protection locked="0"/>
    </xf>
    <xf numFmtId="0" fontId="166" fillId="0" borderId="90" xfId="0" applyFont="1" applyBorder="1" applyAlignment="1" applyProtection="1">
      <alignment horizontal="left" vertical="top" wrapText="1"/>
      <protection/>
    </xf>
    <xf numFmtId="0" fontId="166" fillId="0" borderId="0" xfId="0" applyFont="1" applyAlignment="1" applyProtection="1">
      <alignment horizontal="left" vertical="top" wrapText="1"/>
      <protection/>
    </xf>
    <xf numFmtId="0" fontId="21" fillId="0" borderId="111" xfId="0" applyFont="1" applyFill="1" applyBorder="1" applyAlignment="1" applyProtection="1">
      <alignment horizontal="left" vertical="top" wrapText="1"/>
      <protection/>
    </xf>
    <xf numFmtId="0" fontId="21" fillId="0" borderId="107" xfId="0" applyFont="1" applyFill="1" applyBorder="1" applyAlignment="1" applyProtection="1">
      <alignment horizontal="left" vertical="top" wrapText="1"/>
      <protection/>
    </xf>
    <xf numFmtId="0" fontId="21" fillId="0" borderId="112" xfId="0" applyFont="1" applyFill="1" applyBorder="1" applyAlignment="1" applyProtection="1">
      <alignment horizontal="left" vertical="top" wrapText="1"/>
      <protection/>
    </xf>
    <xf numFmtId="0" fontId="21" fillId="0" borderId="15" xfId="0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1" fillId="0" borderId="16" xfId="0" applyFont="1" applyFill="1" applyBorder="1" applyAlignment="1" applyProtection="1">
      <alignment horizontal="left" vertical="top" wrapText="1"/>
      <protection/>
    </xf>
    <xf numFmtId="0" fontId="21" fillId="0" borderId="113" xfId="0" applyFont="1" applyFill="1" applyBorder="1" applyAlignment="1" applyProtection="1">
      <alignment horizontal="left" vertical="top" wrapText="1"/>
      <protection/>
    </xf>
    <xf numFmtId="0" fontId="21" fillId="0" borderId="29" xfId="0" applyFont="1" applyFill="1" applyBorder="1" applyAlignment="1" applyProtection="1">
      <alignment horizontal="left" vertical="top" wrapText="1"/>
      <protection/>
    </xf>
    <xf numFmtId="0" fontId="21" fillId="0" borderId="114" xfId="0" applyFont="1" applyFill="1" applyBorder="1" applyAlignment="1" applyProtection="1">
      <alignment horizontal="left" vertical="top" wrapText="1"/>
      <protection/>
    </xf>
    <xf numFmtId="0" fontId="13" fillId="38" borderId="105" xfId="0" applyFont="1" applyFill="1" applyBorder="1" applyAlignment="1" applyProtection="1">
      <alignment horizontal="center" wrapText="1"/>
      <protection/>
    </xf>
    <xf numFmtId="0" fontId="13" fillId="38" borderId="131" xfId="0" applyFont="1" applyFill="1" applyBorder="1" applyAlignment="1" applyProtection="1">
      <alignment horizontal="center" wrapText="1"/>
      <protection/>
    </xf>
    <xf numFmtId="0" fontId="13" fillId="47" borderId="132" xfId="0" applyFont="1" applyFill="1" applyBorder="1" applyAlignment="1" applyProtection="1">
      <alignment horizontal="center"/>
      <protection/>
    </xf>
    <xf numFmtId="0" fontId="13" fillId="47" borderId="133" xfId="0" applyFont="1" applyFill="1" applyBorder="1" applyAlignment="1" applyProtection="1">
      <alignment horizontal="center"/>
      <protection/>
    </xf>
    <xf numFmtId="0" fontId="164" fillId="0" borderId="0" xfId="0" applyFont="1" applyAlignment="1" applyProtection="1">
      <alignment horizontal="left" vertical="top" wrapText="1"/>
      <protection/>
    </xf>
    <xf numFmtId="0" fontId="165" fillId="0" borderId="0" xfId="0" applyFont="1" applyBorder="1" applyAlignment="1" applyProtection="1">
      <alignment horizontal="center" vertical="top"/>
      <protection/>
    </xf>
    <xf numFmtId="14" fontId="12" fillId="39" borderId="29" xfId="0" applyNumberFormat="1" applyFont="1" applyFill="1" applyBorder="1" applyAlignment="1" applyProtection="1">
      <alignment horizontal="center"/>
      <protection locked="0"/>
    </xf>
    <xf numFmtId="14" fontId="13" fillId="0" borderId="28" xfId="0" applyNumberFormat="1" applyFont="1" applyBorder="1" applyAlignment="1" applyProtection="1">
      <alignment horizontal="left"/>
      <protection locked="0"/>
    </xf>
    <xf numFmtId="14" fontId="13" fillId="0" borderId="29" xfId="0" applyNumberFormat="1" applyFont="1" applyBorder="1" applyAlignment="1" applyProtection="1">
      <alignment horizontal="left"/>
      <protection locked="0"/>
    </xf>
    <xf numFmtId="14" fontId="13" fillId="0" borderId="29" xfId="0" applyNumberFormat="1" applyFont="1" applyBorder="1" applyAlignment="1" applyProtection="1">
      <alignment horizontal="right"/>
      <protection/>
    </xf>
    <xf numFmtId="14" fontId="13" fillId="0" borderId="57" xfId="0" applyNumberFormat="1" applyFont="1" applyBorder="1" applyAlignment="1" applyProtection="1">
      <alignment horizontal="right"/>
      <protection/>
    </xf>
    <xf numFmtId="0" fontId="41" fillId="43" borderId="17" xfId="0" applyFont="1" applyFill="1" applyBorder="1" applyAlignment="1" applyProtection="1">
      <alignment horizontal="right"/>
      <protection/>
    </xf>
    <xf numFmtId="0" fontId="13" fillId="39" borderId="17" xfId="0" applyFont="1" applyFill="1" applyBorder="1" applyAlignment="1" applyProtection="1">
      <alignment horizontal="center" shrinkToFit="1"/>
      <protection/>
    </xf>
    <xf numFmtId="0" fontId="13" fillId="48" borderId="18" xfId="0" applyFont="1" applyFill="1" applyBorder="1" applyAlignment="1" applyProtection="1">
      <alignment horizontal="center"/>
      <protection/>
    </xf>
    <xf numFmtId="0" fontId="13" fillId="48" borderId="115" xfId="0" applyFont="1" applyFill="1" applyBorder="1" applyAlignment="1" applyProtection="1">
      <alignment horizontal="center"/>
      <protection/>
    </xf>
    <xf numFmtId="0" fontId="13" fillId="39" borderId="134" xfId="0" applyFont="1" applyFill="1" applyBorder="1" applyAlignment="1" applyProtection="1">
      <alignment horizontal="center" shrinkToFit="1"/>
      <protection/>
    </xf>
    <xf numFmtId="0" fontId="13" fillId="39" borderId="120" xfId="0" applyFont="1" applyFill="1" applyBorder="1" applyAlignment="1" applyProtection="1">
      <alignment horizontal="center" shrinkToFit="1"/>
      <protection/>
    </xf>
    <xf numFmtId="0" fontId="13" fillId="39" borderId="132" xfId="0" applyFont="1" applyFill="1" applyBorder="1" applyAlignment="1" applyProtection="1">
      <alignment horizontal="center" shrinkToFit="1"/>
      <protection/>
    </xf>
    <xf numFmtId="0" fontId="47" fillId="37" borderId="0" xfId="0" applyFont="1" applyFill="1" applyAlignment="1" applyProtection="1">
      <alignment horizontal="left" vertical="center" wrapText="1"/>
      <protection/>
    </xf>
    <xf numFmtId="0" fontId="47" fillId="37" borderId="0" xfId="0" applyFont="1" applyFill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 vertical="top" wrapText="1"/>
      <protection/>
    </xf>
    <xf numFmtId="0" fontId="8" fillId="0" borderId="20" xfId="0" applyFont="1" applyBorder="1" applyAlignment="1" applyProtection="1">
      <alignment horizontal="left" vertical="top" wrapText="1"/>
      <protection/>
    </xf>
    <xf numFmtId="0" fontId="8" fillId="0" borderId="23" xfId="0" applyFont="1" applyBorder="1" applyAlignment="1" applyProtection="1">
      <alignment horizontal="center" vertical="top" wrapText="1"/>
      <protection/>
    </xf>
    <xf numFmtId="0" fontId="8" fillId="0" borderId="24" xfId="0" applyFont="1" applyBorder="1" applyAlignment="1" applyProtection="1">
      <alignment horizontal="center" vertical="top" wrapText="1"/>
      <protection/>
    </xf>
    <xf numFmtId="0" fontId="8" fillId="0" borderId="25" xfId="0" applyFont="1" applyBorder="1" applyAlignment="1" applyProtection="1">
      <alignment horizontal="center" vertical="top" wrapText="1"/>
      <protection/>
    </xf>
    <xf numFmtId="0" fontId="8" fillId="0" borderId="19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horizontal="center" vertical="top" wrapText="1"/>
      <protection/>
    </xf>
    <xf numFmtId="14" fontId="13" fillId="39" borderId="135" xfId="0" applyNumberFormat="1" applyFont="1" applyFill="1" applyBorder="1" applyAlignment="1" applyProtection="1">
      <alignment horizontal="center" vertical="center"/>
      <protection/>
    </xf>
    <xf numFmtId="14" fontId="13" fillId="39" borderId="59" xfId="0" applyNumberFormat="1" applyFont="1" applyFill="1" applyBorder="1" applyAlignment="1" applyProtection="1">
      <alignment horizontal="center" vertical="center"/>
      <protection/>
    </xf>
    <xf numFmtId="14" fontId="13" fillId="42" borderId="135" xfId="0" applyNumberFormat="1" applyFont="1" applyFill="1" applyBorder="1" applyAlignment="1" applyProtection="1">
      <alignment horizontal="center" vertical="center"/>
      <protection/>
    </xf>
    <xf numFmtId="14" fontId="13" fillId="42" borderId="59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Border="1" applyAlignment="1" applyProtection="1">
      <alignment horizontal="left"/>
      <protection/>
    </xf>
    <xf numFmtId="0" fontId="36" fillId="0" borderId="94" xfId="0" applyFont="1" applyBorder="1" applyAlignment="1" applyProtection="1">
      <alignment horizontal="left"/>
      <protection/>
    </xf>
    <xf numFmtId="0" fontId="36" fillId="0" borderId="110" xfId="0" applyFont="1" applyBorder="1" applyAlignment="1" applyProtection="1">
      <alignment horizontal="left"/>
      <protection/>
    </xf>
    <xf numFmtId="0" fontId="13" fillId="0" borderId="85" xfId="0" applyFont="1" applyFill="1" applyBorder="1" applyAlignment="1" applyProtection="1">
      <alignment horizontal="left"/>
      <protection/>
    </xf>
    <xf numFmtId="0" fontId="13" fillId="0" borderId="84" xfId="0" applyFont="1" applyFill="1" applyBorder="1" applyAlignment="1" applyProtection="1">
      <alignment horizontal="left"/>
      <protection/>
    </xf>
    <xf numFmtId="0" fontId="13" fillId="42" borderId="109" xfId="0" applyFont="1" applyFill="1" applyBorder="1" applyAlignment="1" applyProtection="1">
      <alignment horizontal="left"/>
      <protection/>
    </xf>
    <xf numFmtId="0" fontId="13" fillId="42" borderId="110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center"/>
      <protection/>
    </xf>
    <xf numFmtId="0" fontId="199" fillId="42" borderId="109" xfId="0" applyFont="1" applyFill="1" applyBorder="1" applyAlignment="1" applyProtection="1">
      <alignment horizontal="center"/>
      <protection/>
    </xf>
    <xf numFmtId="0" fontId="199" fillId="42" borderId="82" xfId="0" applyFont="1" applyFill="1" applyBorder="1" applyAlignment="1" applyProtection="1">
      <alignment horizontal="center"/>
      <protection/>
    </xf>
    <xf numFmtId="0" fontId="13" fillId="42" borderId="108" xfId="0" applyFont="1" applyFill="1" applyBorder="1" applyAlignment="1" applyProtection="1">
      <alignment horizontal="center" vertical="center"/>
      <protection/>
    </xf>
    <xf numFmtId="0" fontId="13" fillId="42" borderId="131" xfId="0" applyFont="1" applyFill="1" applyBorder="1" applyAlignment="1" applyProtection="1">
      <alignment horizontal="center" vertical="center"/>
      <protection/>
    </xf>
    <xf numFmtId="0" fontId="13" fillId="42" borderId="85" xfId="0" applyFont="1" applyFill="1" applyBorder="1" applyAlignment="1" applyProtection="1">
      <alignment horizontal="left"/>
      <protection/>
    </xf>
    <xf numFmtId="0" fontId="13" fillId="42" borderId="84" xfId="0" applyFont="1" applyFill="1" applyBorder="1" applyAlignment="1" applyProtection="1">
      <alignment horizontal="left"/>
      <protection/>
    </xf>
    <xf numFmtId="0" fontId="93" fillId="36" borderId="18" xfId="0" applyFont="1" applyFill="1" applyBorder="1" applyAlignment="1" applyProtection="1">
      <alignment horizontal="center"/>
      <protection/>
    </xf>
    <xf numFmtId="0" fontId="0" fillId="36" borderId="63" xfId="0" applyFill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 horizontal="center"/>
      <protection/>
    </xf>
    <xf numFmtId="20" fontId="200" fillId="35" borderId="0" xfId="0" applyNumberFormat="1" applyFont="1" applyFill="1" applyAlignment="1">
      <alignment horizontal="center" vertical="center"/>
    </xf>
    <xf numFmtId="20" fontId="201" fillId="35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png" /><Relationship Id="rId3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2219325</xdr:colOff>
      <xdr:row>2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152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19050</xdr:rowOff>
    </xdr:from>
    <xdr:to>
      <xdr:col>7</xdr:col>
      <xdr:colOff>295275</xdr:colOff>
      <xdr:row>3</xdr:row>
      <xdr:rowOff>333375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9050"/>
          <a:ext cx="3067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2209800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152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21</xdr:row>
      <xdr:rowOff>28575</xdr:rowOff>
    </xdr:from>
    <xdr:to>
      <xdr:col>2</xdr:col>
      <xdr:colOff>2000250</xdr:colOff>
      <xdr:row>48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3810000"/>
          <a:ext cx="1971675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152400</xdr:rowOff>
    </xdr:from>
    <xdr:to>
      <xdr:col>5</xdr:col>
      <xdr:colOff>533400</xdr:colOff>
      <xdr:row>14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695325"/>
          <a:ext cx="46863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1790700</xdr:colOff>
      <xdr:row>24</xdr:row>
      <xdr:rowOff>142875</xdr:rowOff>
    </xdr:from>
    <xdr:to>
      <xdr:col>0</xdr:col>
      <xdr:colOff>4857750</xdr:colOff>
      <xdr:row>28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0700" y="4410075"/>
          <a:ext cx="3067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1</xdr:row>
      <xdr:rowOff>142875</xdr:rowOff>
    </xdr:to>
    <xdr:pic>
      <xdr:nvPicPr>
        <xdr:cNvPr id="1" name="Picture 4" descr="D:\Logos\BCC-Log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1</xdr:row>
      <xdr:rowOff>9525</xdr:rowOff>
    </xdr:from>
    <xdr:to>
      <xdr:col>24</xdr:col>
      <xdr:colOff>285750</xdr:colOff>
      <xdr:row>31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428625"/>
          <a:ext cx="2076450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4</xdr:row>
      <xdr:rowOff>38100</xdr:rowOff>
    </xdr:from>
    <xdr:to>
      <xdr:col>20</xdr:col>
      <xdr:colOff>400050</xdr:colOff>
      <xdr:row>25</xdr:row>
      <xdr:rowOff>428625</xdr:rowOff>
    </xdr:to>
    <xdr:pic>
      <xdr:nvPicPr>
        <xdr:cNvPr id="1" name="Picture 4" descr="C:\Users\WANDA~1.SAN\AppData\Local\Temp\SNAGHTML8789f2c.PNG"/>
        <xdr:cNvPicPr preferRelativeResize="1">
          <a:picLocks noChangeAspect="1"/>
        </xdr:cNvPicPr>
      </xdr:nvPicPr>
      <xdr:blipFill>
        <a:blip r:embed="rId1"/>
        <a:srcRect l="6147" r="5328" b="2110"/>
        <a:stretch>
          <a:fillRect/>
        </a:stretch>
      </xdr:blipFill>
      <xdr:spPr>
        <a:xfrm>
          <a:off x="10658475" y="2085975"/>
          <a:ext cx="2057400" cy="574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1</xdr:row>
      <xdr:rowOff>419100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t="20138" b="18750"/>
        <a:stretch>
          <a:fillRect/>
        </a:stretch>
      </xdr:blipFill>
      <xdr:spPr>
        <a:xfrm>
          <a:off x="0" y="0"/>
          <a:ext cx="1371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209550</xdr:rowOff>
    </xdr:to>
    <xdr:pic>
      <xdr:nvPicPr>
        <xdr:cNvPr id="1" name="Picture 2" descr="D:\Logos\BCC-Log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11</xdr:row>
      <xdr:rowOff>200025</xdr:rowOff>
    </xdr:from>
    <xdr:to>
      <xdr:col>20</xdr:col>
      <xdr:colOff>571500</xdr:colOff>
      <xdr:row>42</xdr:row>
      <xdr:rowOff>9525</xdr:rowOff>
    </xdr:to>
    <xdr:pic>
      <xdr:nvPicPr>
        <xdr:cNvPr id="2" name="Picture 4" descr="C:\Users\WANDA~1.SAN\AppData\Local\Temp\SNAGHTML8789f2c.PNG"/>
        <xdr:cNvPicPr preferRelativeResize="1">
          <a:picLocks noChangeAspect="1"/>
        </xdr:cNvPicPr>
      </xdr:nvPicPr>
      <xdr:blipFill>
        <a:blip r:embed="rId2"/>
        <a:srcRect l="6007" r="5653"/>
        <a:stretch>
          <a:fillRect/>
        </a:stretch>
      </xdr:blipFill>
      <xdr:spPr>
        <a:xfrm>
          <a:off x="12049125" y="2733675"/>
          <a:ext cx="2381250" cy="680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171450</xdr:rowOff>
    </xdr:from>
    <xdr:to>
      <xdr:col>22</xdr:col>
      <xdr:colOff>342900</xdr:colOff>
      <xdr:row>9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39600" y="171450"/>
          <a:ext cx="46863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cc.cuny.edu/wp-content/uploads/2018/HR/HEO_Request_for_OT_CompTime_OHRMform-1.pdf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56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33.421875" style="430" customWidth="1"/>
    <col min="2" max="2" width="100.28125" style="430" customWidth="1"/>
  </cols>
  <sheetData>
    <row r="1" spans="1:2" ht="33" customHeight="1">
      <c r="A1" s="577" t="s">
        <v>404</v>
      </c>
      <c r="B1" s="577"/>
    </row>
    <row r="2" spans="1:2" ht="12.75">
      <c r="A2" s="577"/>
      <c r="B2" s="577"/>
    </row>
    <row r="3" spans="1:2" ht="42" customHeight="1">
      <c r="A3" s="427"/>
      <c r="B3" s="418"/>
    </row>
    <row r="4" spans="1:2" ht="62.25" customHeight="1">
      <c r="A4" s="578" t="s">
        <v>346</v>
      </c>
      <c r="B4" s="578"/>
    </row>
    <row r="5" spans="1:2" ht="18.75">
      <c r="A5" s="431"/>
      <c r="B5" s="431"/>
    </row>
    <row r="6" spans="1:2" ht="25.5" customHeight="1">
      <c r="A6" s="421" t="s">
        <v>347</v>
      </c>
      <c r="B6" s="422" t="s">
        <v>438</v>
      </c>
    </row>
    <row r="7" spans="1:2" ht="14.25" customHeight="1">
      <c r="A7" s="421"/>
      <c r="B7" s="422"/>
    </row>
    <row r="8" spans="1:2" ht="144.75" customHeight="1">
      <c r="A8" s="421" t="s">
        <v>437</v>
      </c>
      <c r="B8" s="422" t="s">
        <v>439</v>
      </c>
    </row>
    <row r="9" spans="1:2" ht="18.75">
      <c r="A9" s="421" t="s">
        <v>442</v>
      </c>
      <c r="B9" s="425" t="s">
        <v>441</v>
      </c>
    </row>
    <row r="10" spans="1:2" ht="18.75">
      <c r="A10" s="421"/>
      <c r="B10" s="419"/>
    </row>
    <row r="11" spans="1:2" ht="18.75">
      <c r="A11" s="421" t="s">
        <v>348</v>
      </c>
      <c r="B11" s="419" t="s">
        <v>349</v>
      </c>
    </row>
    <row r="12" spans="1:2" ht="18.75">
      <c r="A12" s="421"/>
      <c r="B12" s="419"/>
    </row>
    <row r="13" spans="1:2" ht="18.75">
      <c r="A13" s="421" t="s">
        <v>352</v>
      </c>
      <c r="B13" s="419" t="s">
        <v>353</v>
      </c>
    </row>
    <row r="14" spans="1:2" ht="18.75">
      <c r="A14" s="421"/>
      <c r="B14" s="419"/>
    </row>
    <row r="15" spans="1:2" ht="18.75">
      <c r="A15" s="421" t="s">
        <v>443</v>
      </c>
      <c r="B15" s="419" t="s">
        <v>444</v>
      </c>
    </row>
    <row r="16" spans="1:2" ht="18.75">
      <c r="A16" s="421"/>
      <c r="B16" s="419"/>
    </row>
    <row r="17" spans="1:2" ht="18.75">
      <c r="A17" s="421" t="s">
        <v>445</v>
      </c>
      <c r="B17" s="419" t="s">
        <v>446</v>
      </c>
    </row>
    <row r="18" spans="1:2" ht="18.75">
      <c r="A18" s="421"/>
      <c r="B18" s="419"/>
    </row>
    <row r="19" spans="1:2" ht="37.5">
      <c r="A19" s="421" t="s">
        <v>447</v>
      </c>
      <c r="B19" s="424" t="s">
        <v>448</v>
      </c>
    </row>
    <row r="20" spans="1:2" ht="18.75">
      <c r="A20" s="421"/>
      <c r="B20" s="419" t="s">
        <v>351</v>
      </c>
    </row>
    <row r="21" spans="1:2" ht="18.75">
      <c r="A21" s="421" t="s">
        <v>282</v>
      </c>
      <c r="B21" s="425" t="s">
        <v>436</v>
      </c>
    </row>
    <row r="22" spans="1:2" ht="18.75">
      <c r="A22" s="421"/>
      <c r="B22" s="425"/>
    </row>
    <row r="23" spans="1:2" ht="18.75">
      <c r="A23" s="421" t="s">
        <v>283</v>
      </c>
      <c r="B23" s="425" t="s">
        <v>440</v>
      </c>
    </row>
    <row r="24" spans="1:2" ht="18.75">
      <c r="A24" s="421"/>
      <c r="B24" s="425"/>
    </row>
    <row r="25" spans="1:2" ht="213" customHeight="1">
      <c r="A25" s="421" t="s">
        <v>354</v>
      </c>
      <c r="B25" s="422" t="s">
        <v>449</v>
      </c>
    </row>
    <row r="27" spans="1:2" ht="409.5">
      <c r="A27" s="421" t="s">
        <v>355</v>
      </c>
      <c r="B27" s="422" t="s">
        <v>457</v>
      </c>
    </row>
    <row r="28" spans="1:2" ht="18.75">
      <c r="A28" s="421"/>
      <c r="B28" s="419"/>
    </row>
    <row r="29" spans="1:2" ht="18.75">
      <c r="A29" s="421"/>
      <c r="B29" s="419"/>
    </row>
    <row r="30" spans="1:2" ht="18.75">
      <c r="A30" s="421"/>
      <c r="B30" s="419"/>
    </row>
    <row r="31" spans="1:2" ht="56.25">
      <c r="A31" s="421" t="s">
        <v>356</v>
      </c>
      <c r="B31" s="422" t="s">
        <v>456</v>
      </c>
    </row>
    <row r="32" spans="1:2" ht="18.75">
      <c r="A32" s="421"/>
      <c r="B32" s="419"/>
    </row>
    <row r="33" spans="1:2" ht="93.75">
      <c r="A33" s="426" t="s">
        <v>453</v>
      </c>
      <c r="B33" s="422" t="s">
        <v>357</v>
      </c>
    </row>
    <row r="34" spans="1:2" ht="18.75">
      <c r="A34" s="426"/>
      <c r="B34" s="422"/>
    </row>
    <row r="35" spans="1:2" ht="18.75">
      <c r="A35" s="426" t="s">
        <v>454</v>
      </c>
      <c r="B35" s="422" t="s">
        <v>455</v>
      </c>
    </row>
    <row r="36" spans="1:2" ht="18.75">
      <c r="A36" s="421"/>
      <c r="B36" s="419"/>
    </row>
    <row r="37" spans="1:2" ht="18.75">
      <c r="A37" s="421" t="s">
        <v>358</v>
      </c>
      <c r="B37" s="424" t="s">
        <v>450</v>
      </c>
    </row>
    <row r="38" spans="1:2" ht="18.75">
      <c r="A38" s="421"/>
      <c r="B38" s="419"/>
    </row>
    <row r="39" spans="1:2" ht="56.25">
      <c r="A39" s="421" t="s">
        <v>359</v>
      </c>
      <c r="B39" s="428" t="s">
        <v>360</v>
      </c>
    </row>
    <row r="40" spans="1:2" ht="18.75">
      <c r="A40" s="421"/>
      <c r="B40" s="419"/>
    </row>
    <row r="41" spans="1:2" ht="18.75">
      <c r="A41" s="421" t="s">
        <v>361</v>
      </c>
      <c r="B41" s="422" t="s">
        <v>362</v>
      </c>
    </row>
    <row r="42" spans="1:2" ht="18.75">
      <c r="A42" s="421"/>
      <c r="B42" s="419"/>
    </row>
    <row r="43" spans="1:2" ht="18.75">
      <c r="A43" s="421" t="s">
        <v>363</v>
      </c>
      <c r="B43" s="422" t="s">
        <v>364</v>
      </c>
    </row>
    <row r="44" spans="1:2" ht="18.75">
      <c r="A44" s="421"/>
      <c r="B44" s="419"/>
    </row>
    <row r="45" spans="1:2" ht="37.5">
      <c r="A45" s="421" t="s">
        <v>365</v>
      </c>
      <c r="B45" s="422" t="s">
        <v>366</v>
      </c>
    </row>
    <row r="46" spans="1:2" ht="18.75">
      <c r="A46" s="421"/>
      <c r="B46" s="419"/>
    </row>
    <row r="47" spans="1:2" ht="37.5">
      <c r="A47" s="421" t="s">
        <v>367</v>
      </c>
      <c r="B47" s="422" t="s">
        <v>368</v>
      </c>
    </row>
    <row r="48" spans="1:2" ht="18.75">
      <c r="A48" s="421"/>
      <c r="B48" s="419"/>
    </row>
    <row r="49" spans="1:2" ht="18.75">
      <c r="A49" s="421" t="s">
        <v>369</v>
      </c>
      <c r="B49" s="422" t="s">
        <v>370</v>
      </c>
    </row>
    <row r="50" spans="1:2" ht="18.75">
      <c r="A50" s="421"/>
      <c r="B50" s="419"/>
    </row>
    <row r="51" spans="1:2" ht="56.25">
      <c r="A51" s="421" t="s">
        <v>371</v>
      </c>
      <c r="B51" s="422" t="s">
        <v>372</v>
      </c>
    </row>
    <row r="52" spans="1:2" ht="18.75">
      <c r="A52" s="427"/>
      <c r="B52" s="429"/>
    </row>
    <row r="53" spans="1:2" ht="18.75">
      <c r="A53" s="427"/>
      <c r="B53" s="427"/>
    </row>
    <row r="54" spans="1:2" ht="18.75">
      <c r="A54" s="427"/>
      <c r="B54" s="427"/>
    </row>
    <row r="55" spans="1:2" ht="18.75">
      <c r="A55" s="427"/>
      <c r="B55" s="427"/>
    </row>
    <row r="56" spans="1:2" ht="18.75">
      <c r="A56" s="427"/>
      <c r="B56" s="427"/>
    </row>
  </sheetData>
  <sheetProtection password="E508" sheet="1" objects="1" scenarios="1" selectLockedCells="1"/>
  <mergeCells count="2">
    <mergeCell ref="A1:B2"/>
    <mergeCell ref="A4:B4"/>
  </mergeCells>
  <printOptions/>
  <pageMargins left="0.25" right="0.25" top="0.25" bottom="0.25" header="0.3" footer="0.3"/>
  <pageSetup fitToHeight="0" fitToWidth="1" horizontalDpi="600" verticalDpi="600" orientation="portrait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52"/>
  <sheetViews>
    <sheetView zoomScalePageLayoutView="0" workbookViewId="0" topLeftCell="A1">
      <selection activeCell="L34" sqref="L34"/>
    </sheetView>
  </sheetViews>
  <sheetFormatPr defaultColWidth="9.140625" defaultRowHeight="12.75"/>
  <cols>
    <col min="1" max="1" width="11.57421875" style="0" customWidth="1"/>
    <col min="2" max="2" width="15.28125" style="33" customWidth="1"/>
    <col min="3" max="3" width="15.00390625" style="33" customWidth="1"/>
    <col min="4" max="4" width="16.57421875" style="33" customWidth="1"/>
    <col min="5" max="5" width="11.140625" style="33" bestFit="1" customWidth="1"/>
    <col min="6" max="6" width="13.8515625" style="0" bestFit="1" customWidth="1"/>
    <col min="7" max="7" width="14.140625" style="0" bestFit="1" customWidth="1"/>
    <col min="8" max="8" width="12.421875" style="0" bestFit="1" customWidth="1"/>
    <col min="9" max="14" width="15.421875" style="0" customWidth="1"/>
  </cols>
  <sheetData>
    <row r="1" spans="1:14" s="69" customFormat="1" ht="25.5">
      <c r="A1" s="69" t="s">
        <v>0</v>
      </c>
      <c r="B1" s="78" t="s">
        <v>227</v>
      </c>
      <c r="C1" s="78" t="s">
        <v>236</v>
      </c>
      <c r="D1" s="78" t="s">
        <v>228</v>
      </c>
      <c r="E1" s="78" t="s">
        <v>229</v>
      </c>
      <c r="F1" s="78" t="s">
        <v>230</v>
      </c>
      <c r="G1" s="79" t="s">
        <v>231</v>
      </c>
      <c r="H1" s="79" t="s">
        <v>251</v>
      </c>
      <c r="I1" s="82" t="s">
        <v>239</v>
      </c>
      <c r="J1" s="82" t="s">
        <v>240</v>
      </c>
      <c r="K1" s="82" t="s">
        <v>241</v>
      </c>
      <c r="L1" s="83" t="s">
        <v>242</v>
      </c>
      <c r="M1" s="82" t="s">
        <v>243</v>
      </c>
      <c r="N1" s="82" t="s">
        <v>244</v>
      </c>
    </row>
    <row r="2" spans="1:14" ht="12.75">
      <c r="A2" t="str">
        <f>'FT Non-Teaching (Bi-Wkly)'!A16</f>
        <v>Sunday</v>
      </c>
      <c r="B2" s="70">
        <f>((('FT Non-Teaching (Bi-Wkly)'!F16-'FT Non-Teaching (Bi-Wkly)'!C16)-('FT Non-Teaching (Bi-Wkly)'!E16-'FT Non-Teaching (Bi-Wkly)'!D16))*24/24)</f>
        <v>0</v>
      </c>
      <c r="C2" s="33">
        <f aca="true" t="shared" si="0" ref="C2:C8">HOUR(B2)</f>
        <v>0</v>
      </c>
      <c r="D2" s="33">
        <f>MINUTE(B2)</f>
        <v>0</v>
      </c>
      <c r="E2" s="33">
        <f>IF(D2&lt;=6,0,IF(AND(D2&gt;=7,D2&lt;=22),15,IF(AND(D2&gt;=23,D2&lt;=37),30,IF(AND(D2&gt;=38,D2&lt;=52),45,60))))</f>
        <v>0</v>
      </c>
      <c r="F2" s="33" t="str">
        <f>C2&amp;":"&amp;E2</f>
        <v>0:0</v>
      </c>
      <c r="G2" s="74">
        <f>TIME(C2,E2,0)*24/24</f>
        <v>0</v>
      </c>
      <c r="H2" s="74">
        <f>'FT Non-Teaching (Bi-Wkly)'!E16-'FT Non-Teaching (Bi-Wkly)'!D16</f>
        <v>0</v>
      </c>
      <c r="I2" s="84">
        <f>IF((('FT Non-Teaching (Bi-Wkly)'!F16-'FT Non-Teaching (Bi-Wkly)'!C16)-('FT Non-Teaching (Bi-Wkly)'!E16-'FT Non-Teaching (Bi-Wkly)'!D16))*24&gt;8,(('FT Non-Teaching (Bi-Wkly)'!F16-'FT Non-Teaching (Bi-Wkly)'!C16)-('FT Non-Teaching (Bi-Wkly)'!E16-'FT Non-Teaching (Bi-Wkly)'!D16))*24-8,0)/24</f>
        <v>0</v>
      </c>
      <c r="J2" s="85">
        <f>HOUR(I2)</f>
        <v>0</v>
      </c>
      <c r="K2" s="85">
        <f>MINUTE(I2)</f>
        <v>0</v>
      </c>
      <c r="L2" s="85">
        <f>IF(K2&lt;=7,0,IF(AND(K2&gt;=8,K2&lt;=22),15,IF(AND(K2&gt;=23,K2&lt;=37),30,IF(AND(K2&gt;=38,K2&lt;=52),45,60))))</f>
        <v>0</v>
      </c>
      <c r="M2" s="84" t="str">
        <f>J2&amp;":"&amp;L2</f>
        <v>0:0</v>
      </c>
      <c r="N2" s="84">
        <f>TIME(J2,L2,0)*24/24</f>
        <v>0</v>
      </c>
    </row>
    <row r="3" spans="1:14" ht="12.75">
      <c r="A3" t="str">
        <f>'FT Non-Teaching (Bi-Wkly)'!A17</f>
        <v>Monday</v>
      </c>
      <c r="B3" s="70">
        <f>((('FT Non-Teaching (Bi-Wkly)'!F17-'FT Non-Teaching (Bi-Wkly)'!C17)-('FT Non-Teaching (Bi-Wkly)'!E17-'FT Non-Teaching (Bi-Wkly)'!D17))*24/24)</f>
        <v>0</v>
      </c>
      <c r="C3" s="33">
        <f t="shared" si="0"/>
        <v>0</v>
      </c>
      <c r="D3" s="33">
        <f aca="true" t="shared" si="1" ref="D3:D8">MINUTE(B3)</f>
        <v>0</v>
      </c>
      <c r="E3" s="33">
        <f>IF(D3&lt;=6,0,IF(AND(D3&gt;=8,D3&lt;=22),15,IF(AND(D3&gt;=23,D3&lt;=37),30,IF(AND(D3&gt;=38,D3&lt;=52),45,60))))</f>
        <v>0</v>
      </c>
      <c r="F3" s="33" t="str">
        <f aca="true" t="shared" si="2" ref="F3:F8">C3&amp;":"&amp;E3</f>
        <v>0:0</v>
      </c>
      <c r="G3" s="74">
        <f aca="true" t="shared" si="3" ref="G3:G8">TIME(C3,E3,0)*24/24</f>
        <v>0</v>
      </c>
      <c r="H3" s="74">
        <f>'FT Non-Teaching (Bi-Wkly)'!E17-'FT Non-Teaching (Bi-Wkly)'!D17</f>
        <v>0</v>
      </c>
      <c r="I3" s="84">
        <f>IF((('FT Non-Teaching (Bi-Wkly)'!F17-'FT Non-Teaching (Bi-Wkly)'!C17)-('FT Non-Teaching (Bi-Wkly)'!E17-'FT Non-Teaching (Bi-Wkly)'!D17))*24&gt;8,(('FT Non-Teaching (Bi-Wkly)'!F17-'FT Non-Teaching (Bi-Wkly)'!C17)-('FT Non-Teaching (Bi-Wkly)'!E17-'FT Non-Teaching (Bi-Wkly)'!D17))*24-8,0)/24</f>
        <v>0</v>
      </c>
      <c r="J3" s="85">
        <f aca="true" t="shared" si="4" ref="J3:J8">HOUR(I3)</f>
        <v>0</v>
      </c>
      <c r="K3" s="85">
        <f aca="true" t="shared" si="5" ref="K3:K8">MINUTE(I3)</f>
        <v>0</v>
      </c>
      <c r="L3" s="85">
        <f aca="true" t="shared" si="6" ref="L3:L8">IF(K3&lt;=7,0,IF(AND(K3&gt;=8,K3&lt;=22),15,IF(AND(K3&gt;=23,K3&lt;=37),30,IF(AND(K3&gt;=38,K3&lt;=52),45,60))))</f>
        <v>0</v>
      </c>
      <c r="M3" s="84" t="str">
        <f aca="true" t="shared" si="7" ref="M3:M8">J3&amp;":"&amp;L3</f>
        <v>0:0</v>
      </c>
      <c r="N3" s="84">
        <f aca="true" t="shared" si="8" ref="N3:N8">TIME(J3,L3,0)*24/24</f>
        <v>0</v>
      </c>
    </row>
    <row r="4" spans="1:14" ht="12.75">
      <c r="A4" t="str">
        <f>'FT Non-Teaching (Bi-Wkly)'!A18</f>
        <v>Tuesday</v>
      </c>
      <c r="B4" s="70">
        <f>((('FT Non-Teaching (Bi-Wkly)'!F18-'FT Non-Teaching (Bi-Wkly)'!C18)-('FT Non-Teaching (Bi-Wkly)'!E18-'FT Non-Teaching (Bi-Wkly)'!D18))*24/24)</f>
        <v>0</v>
      </c>
      <c r="C4" s="33">
        <f t="shared" si="0"/>
        <v>0</v>
      </c>
      <c r="D4" s="33">
        <f t="shared" si="1"/>
        <v>0</v>
      </c>
      <c r="E4" s="33">
        <f>IF(D4&lt;=7,0,IF(AND(D4&gt;=8,D4&lt;=22),15,IF(AND(D4&gt;=23,D4&lt;=37),30,IF(AND(D4&gt;=38,D4&lt;=52),45,60))))</f>
        <v>0</v>
      </c>
      <c r="F4" s="33" t="str">
        <f t="shared" si="2"/>
        <v>0:0</v>
      </c>
      <c r="G4" s="74">
        <f t="shared" si="3"/>
        <v>0</v>
      </c>
      <c r="H4" s="74">
        <f>'FT Non-Teaching (Bi-Wkly)'!E18-'FT Non-Teaching (Bi-Wkly)'!D18</f>
        <v>0</v>
      </c>
      <c r="I4" s="84">
        <f>IF((('FT Non-Teaching (Bi-Wkly)'!F18-'FT Non-Teaching (Bi-Wkly)'!C18)-('FT Non-Teaching (Bi-Wkly)'!E18-'FT Non-Teaching (Bi-Wkly)'!D18))*24&gt;8,(('FT Non-Teaching (Bi-Wkly)'!F18-'FT Non-Teaching (Bi-Wkly)'!C18)-('FT Non-Teaching (Bi-Wkly)'!E18-'FT Non-Teaching (Bi-Wkly)'!D18))*24-8,0)/24</f>
        <v>0</v>
      </c>
      <c r="J4" s="85">
        <f t="shared" si="4"/>
        <v>0</v>
      </c>
      <c r="K4" s="85">
        <f t="shared" si="5"/>
        <v>0</v>
      </c>
      <c r="L4" s="85">
        <f t="shared" si="6"/>
        <v>0</v>
      </c>
      <c r="M4" s="84" t="str">
        <f t="shared" si="7"/>
        <v>0:0</v>
      </c>
      <c r="N4" s="84">
        <f t="shared" si="8"/>
        <v>0</v>
      </c>
    </row>
    <row r="5" spans="1:14" s="72" customFormat="1" ht="12.75">
      <c r="A5" t="str">
        <f>'FT Non-Teaching (Bi-Wkly)'!A19</f>
        <v>Wednesday</v>
      </c>
      <c r="B5" s="70">
        <f>((('FT Non-Teaching (Bi-Wkly)'!F19-'FT Non-Teaching (Bi-Wkly)'!C19)-('FT Non-Teaching (Bi-Wkly)'!E19-'FT Non-Teaching (Bi-Wkly)'!D19))*24/24)</f>
        <v>0</v>
      </c>
      <c r="C5" s="73">
        <f t="shared" si="0"/>
        <v>0</v>
      </c>
      <c r="D5" s="33">
        <f t="shared" si="1"/>
        <v>0</v>
      </c>
      <c r="E5" s="33">
        <f>IF(D5&lt;=7,0,IF(AND(D5&gt;=8,D5&lt;=22),15,IF(AND(D5&gt;=23,D5&lt;=37),30,IF(AND(D5&gt;=38,D5&lt;=52),45,60))))</f>
        <v>0</v>
      </c>
      <c r="F5" s="73" t="str">
        <f t="shared" si="2"/>
        <v>0:0</v>
      </c>
      <c r="G5" s="74">
        <f t="shared" si="3"/>
        <v>0</v>
      </c>
      <c r="H5" s="74">
        <f>'FT Non-Teaching (Bi-Wkly)'!E19-'FT Non-Teaching (Bi-Wkly)'!D19</f>
        <v>0</v>
      </c>
      <c r="I5" s="84">
        <f>IF((('FT Non-Teaching (Bi-Wkly)'!F19-'FT Non-Teaching (Bi-Wkly)'!C19)-('FT Non-Teaching (Bi-Wkly)'!E19-'FT Non-Teaching (Bi-Wkly)'!D19))*24&gt;8,(('FT Non-Teaching (Bi-Wkly)'!F19-'FT Non-Teaching (Bi-Wkly)'!C19)-('FT Non-Teaching (Bi-Wkly)'!E19-'FT Non-Teaching (Bi-Wkly)'!D19))*24-8,0)/24</f>
        <v>0</v>
      </c>
      <c r="J5" s="85">
        <f t="shared" si="4"/>
        <v>0</v>
      </c>
      <c r="K5" s="85">
        <f t="shared" si="5"/>
        <v>0</v>
      </c>
      <c r="L5" s="85">
        <f t="shared" si="6"/>
        <v>0</v>
      </c>
      <c r="M5" s="84" t="str">
        <f t="shared" si="7"/>
        <v>0:0</v>
      </c>
      <c r="N5" s="84">
        <f t="shared" si="8"/>
        <v>0</v>
      </c>
    </row>
    <row r="6" spans="1:14" ht="12.75">
      <c r="A6" t="str">
        <f>'FT Non-Teaching (Bi-Wkly)'!A20</f>
        <v>Thursday</v>
      </c>
      <c r="B6" s="70">
        <f>((('FT Non-Teaching (Bi-Wkly)'!F20-'FT Non-Teaching (Bi-Wkly)'!C20)-('FT Non-Teaching (Bi-Wkly)'!E20-'FT Non-Teaching (Bi-Wkly)'!D20))*24/24)</f>
        <v>0</v>
      </c>
      <c r="C6" s="33">
        <f t="shared" si="0"/>
        <v>0</v>
      </c>
      <c r="D6" s="33">
        <f t="shared" si="1"/>
        <v>0</v>
      </c>
      <c r="E6" s="33">
        <f>IF(D6&lt;=7,0,IF(AND(D6&gt;=8,D6&lt;=22),15,IF(AND(D6&gt;=23,D6&lt;=37),30,IF(AND(D6&gt;=38,D6&lt;=52),45,60))))</f>
        <v>0</v>
      </c>
      <c r="F6" s="33" t="str">
        <f t="shared" si="2"/>
        <v>0:0</v>
      </c>
      <c r="G6" s="74">
        <f t="shared" si="3"/>
        <v>0</v>
      </c>
      <c r="H6" s="74">
        <f>'FT Non-Teaching (Bi-Wkly)'!E20-'FT Non-Teaching (Bi-Wkly)'!D20</f>
        <v>0</v>
      </c>
      <c r="I6" s="84">
        <f>IF((('FT Non-Teaching (Bi-Wkly)'!F20-'FT Non-Teaching (Bi-Wkly)'!C20)-('FT Non-Teaching (Bi-Wkly)'!E20-'FT Non-Teaching (Bi-Wkly)'!D20))*24&gt;8,(('FT Non-Teaching (Bi-Wkly)'!F20-'FT Non-Teaching (Bi-Wkly)'!C20)-('FT Non-Teaching (Bi-Wkly)'!E20-'FT Non-Teaching (Bi-Wkly)'!D20))*24-8,0)/24</f>
        <v>0</v>
      </c>
      <c r="J6" s="85">
        <f t="shared" si="4"/>
        <v>0</v>
      </c>
      <c r="K6" s="85">
        <f t="shared" si="5"/>
        <v>0</v>
      </c>
      <c r="L6" s="85">
        <f t="shared" si="6"/>
        <v>0</v>
      </c>
      <c r="M6" s="84" t="str">
        <f t="shared" si="7"/>
        <v>0:0</v>
      </c>
      <c r="N6" s="84">
        <f t="shared" si="8"/>
        <v>0</v>
      </c>
    </row>
    <row r="7" spans="1:14" ht="12.75">
      <c r="A7" t="str">
        <f>'FT Non-Teaching (Bi-Wkly)'!A21</f>
        <v>Friday</v>
      </c>
      <c r="B7" s="70">
        <f>((('FT Non-Teaching (Bi-Wkly)'!F21-'FT Non-Teaching (Bi-Wkly)'!C21)-('FT Non-Teaching (Bi-Wkly)'!E21-'FT Non-Teaching (Bi-Wkly)'!D21))*24/24)</f>
        <v>0</v>
      </c>
      <c r="C7" s="33">
        <f t="shared" si="0"/>
        <v>0</v>
      </c>
      <c r="D7" s="33">
        <f t="shared" si="1"/>
        <v>0</v>
      </c>
      <c r="E7" s="33">
        <f>IF(D7&lt;=7,0,IF(AND(D7&gt;=8,D7&lt;=22),15,IF(AND(D7&gt;=23,D7&lt;=37),30,IF(AND(D7&gt;=38,D7&lt;=52),45,60))))</f>
        <v>0</v>
      </c>
      <c r="F7" s="33" t="str">
        <f t="shared" si="2"/>
        <v>0:0</v>
      </c>
      <c r="G7" s="74">
        <f t="shared" si="3"/>
        <v>0</v>
      </c>
      <c r="H7" s="74">
        <f>'FT Non-Teaching (Bi-Wkly)'!E21-'FT Non-Teaching (Bi-Wkly)'!D21</f>
        <v>0</v>
      </c>
      <c r="I7" s="84">
        <f>IF((('FT Non-Teaching (Bi-Wkly)'!F21-'FT Non-Teaching (Bi-Wkly)'!C21)-('FT Non-Teaching (Bi-Wkly)'!E21-'FT Non-Teaching (Bi-Wkly)'!D21))*24&gt;8,(('FT Non-Teaching (Bi-Wkly)'!F21-'FT Non-Teaching (Bi-Wkly)'!C21)-('FT Non-Teaching (Bi-Wkly)'!E21-'FT Non-Teaching (Bi-Wkly)'!D21))*24-8,0)/24</f>
        <v>0</v>
      </c>
      <c r="J7" s="85">
        <f>HOUR(I7)</f>
        <v>0</v>
      </c>
      <c r="K7" s="85">
        <f>MINUTE(I7)</f>
        <v>0</v>
      </c>
      <c r="L7" s="85">
        <f>IF(K7&lt;=7,0,IF(AND(K7&gt;=8,K7&lt;=22),15,IF(AND(K7&gt;=23,K7&lt;=37),30,IF(AND(K7&gt;=38,K7&lt;=52),45,60))))</f>
        <v>0</v>
      </c>
      <c r="M7" s="84" t="str">
        <f>J7&amp;":"&amp;L7</f>
        <v>0:0</v>
      </c>
      <c r="N7" s="84">
        <f>TIME(J7,L7,0)*24/24</f>
        <v>0</v>
      </c>
    </row>
    <row r="8" spans="1:14" ht="12.75">
      <c r="A8" t="str">
        <f>'FT Non-Teaching (Bi-Wkly)'!A22</f>
        <v>Saturday</v>
      </c>
      <c r="B8" s="70">
        <f>((('FT Non-Teaching (Bi-Wkly)'!F22-'FT Non-Teaching (Bi-Wkly)'!C22)-('FT Non-Teaching (Bi-Wkly)'!E22-'FT Non-Teaching (Bi-Wkly)'!D22))*24/24)</f>
        <v>0</v>
      </c>
      <c r="C8" s="33">
        <f t="shared" si="0"/>
        <v>0</v>
      </c>
      <c r="D8" s="33">
        <f t="shared" si="1"/>
        <v>0</v>
      </c>
      <c r="E8" s="33">
        <f>IF(D8&lt;=7,0,IF(AND(D8&gt;=8,D8&lt;=22),15,IF(AND(D8&gt;=23,D8&lt;=37),30,IF(AND(D8&gt;=38,D8&lt;=52),45,60))))</f>
        <v>0</v>
      </c>
      <c r="F8" s="33" t="str">
        <f t="shared" si="2"/>
        <v>0:0</v>
      </c>
      <c r="G8" s="74">
        <f t="shared" si="3"/>
        <v>0</v>
      </c>
      <c r="H8" s="74">
        <f>'FT Non-Teaching (Bi-Wkly)'!E22-'FT Non-Teaching (Bi-Wkly)'!D22</f>
        <v>0</v>
      </c>
      <c r="I8" s="84">
        <f>IF((('FT Non-Teaching (Bi-Wkly)'!F22-'FT Non-Teaching (Bi-Wkly)'!C22)-('FT Non-Teaching (Bi-Wkly)'!E22-'FT Non-Teaching (Bi-Wkly)'!D22))*24&gt;8,(('FT Non-Teaching (Bi-Wkly)'!F22-'FT Non-Teaching (Bi-Wkly)'!C22)-('FT Non-Teaching (Bi-Wkly)'!E22-'FT Non-Teaching (Bi-Wkly)'!D22))*24-8,0)/24</f>
        <v>0</v>
      </c>
      <c r="J8" s="85">
        <f t="shared" si="4"/>
        <v>0</v>
      </c>
      <c r="K8" s="85">
        <f t="shared" si="5"/>
        <v>0</v>
      </c>
      <c r="L8" s="85">
        <f t="shared" si="6"/>
        <v>0</v>
      </c>
      <c r="M8" s="84" t="str">
        <f t="shared" si="7"/>
        <v>0:0</v>
      </c>
      <c r="N8" s="84">
        <f t="shared" si="8"/>
        <v>0</v>
      </c>
    </row>
    <row r="9" spans="2:8" s="77" customFormat="1" ht="12.75">
      <c r="B9" s="784" t="s">
        <v>225</v>
      </c>
      <c r="C9" s="784"/>
      <c r="D9" s="784"/>
      <c r="E9" s="784"/>
      <c r="F9" s="784"/>
      <c r="G9" s="784"/>
      <c r="H9" s="784"/>
    </row>
    <row r="10" spans="2:8" s="77" customFormat="1" ht="12.75">
      <c r="B10" s="784"/>
      <c r="C10" s="784"/>
      <c r="D10" s="784"/>
      <c r="E10" s="784"/>
      <c r="F10" s="784"/>
      <c r="G10" s="784"/>
      <c r="H10" s="784"/>
    </row>
    <row r="11" ht="12.75">
      <c r="B11" s="70"/>
    </row>
    <row r="12" spans="1:14" s="69" customFormat="1" ht="25.5">
      <c r="A12" s="69" t="s">
        <v>0</v>
      </c>
      <c r="B12" s="78" t="s">
        <v>227</v>
      </c>
      <c r="C12" s="78" t="s">
        <v>236</v>
      </c>
      <c r="D12" s="78" t="s">
        <v>224</v>
      </c>
      <c r="E12" s="78" t="s">
        <v>229</v>
      </c>
      <c r="F12" s="78" t="s">
        <v>230</v>
      </c>
      <c r="G12" s="79" t="s">
        <v>231</v>
      </c>
      <c r="H12" s="79" t="s">
        <v>251</v>
      </c>
      <c r="I12" s="82" t="s">
        <v>239</v>
      </c>
      <c r="J12" s="82" t="s">
        <v>240</v>
      </c>
      <c r="K12" s="82" t="s">
        <v>235</v>
      </c>
      <c r="L12" s="83" t="s">
        <v>232</v>
      </c>
      <c r="M12" s="82" t="s">
        <v>243</v>
      </c>
      <c r="N12" s="82" t="s">
        <v>244</v>
      </c>
    </row>
    <row r="13" spans="1:14" ht="12.75">
      <c r="A13" t="str">
        <f>'FT Non-Teaching (Bi-Wkly)'!A27</f>
        <v>Sunday</v>
      </c>
      <c r="B13" s="70">
        <f>((('FT Non-Teaching (Bi-Wkly)'!F27-'FT Non-Teaching (Bi-Wkly)'!C27)-('FT Non-Teaching (Bi-Wkly)'!E27-'FT Non-Teaching (Bi-Wkly)'!D27))*24/24)</f>
        <v>0</v>
      </c>
      <c r="C13" s="33">
        <f aca="true" t="shared" si="9" ref="C13:C19">HOUR(B13)</f>
        <v>0</v>
      </c>
      <c r="D13" s="33">
        <f>MINUTE(B13)</f>
        <v>0</v>
      </c>
      <c r="E13" s="33">
        <f>IF(D13&lt;=7,0,IF(AND(D13&gt;=8,D13&lt;=22),15,IF(AND(D13&gt;=23,D13&lt;=37),30,IF(AND(D13&gt;=38,D13&lt;=52),45,60))))</f>
        <v>0</v>
      </c>
      <c r="F13" s="33" t="str">
        <f>C13&amp;":"&amp;E13</f>
        <v>0:0</v>
      </c>
      <c r="G13" s="74">
        <f>TIME(C13,E13,0)*24/24</f>
        <v>0</v>
      </c>
      <c r="H13" s="74">
        <f>'FT Non-Teaching (Bi-Wkly)'!E27-'FT Non-Teaching (Bi-Wkly)'!D27</f>
        <v>0</v>
      </c>
      <c r="I13" s="84">
        <f>IF((('FT Non-Teaching (Bi-Wkly)'!F27-'FT Non-Teaching (Bi-Wkly)'!C27)-('FT Non-Teaching (Bi-Wkly)'!E27-'FT Non-Teaching (Bi-Wkly)'!D27))*24&gt;8,(('FT Non-Teaching (Bi-Wkly)'!F27-'FT Non-Teaching (Bi-Wkly)'!C27)-('FT Non-Teaching (Bi-Wkly)'!E27-'FT Non-Teaching (Bi-Wkly)'!D27))*24-8,0)/24</f>
        <v>0</v>
      </c>
      <c r="J13" s="85">
        <f aca="true" t="shared" si="10" ref="J13:J19">HOUR(I13)</f>
        <v>0</v>
      </c>
      <c r="K13" s="85">
        <f aca="true" t="shared" si="11" ref="K13:K19">MINUTE(I13)</f>
        <v>0</v>
      </c>
      <c r="L13" s="85">
        <f aca="true" t="shared" si="12" ref="L13:L19">IF(K13&lt;=7,0,IF(AND(K13&gt;=8,K13&lt;=22),15,IF(AND(K13&gt;=23,K13&lt;=37),30,IF(AND(K13&gt;=38,K13&lt;=52),45,60))))</f>
        <v>0</v>
      </c>
      <c r="M13" s="84" t="str">
        <f aca="true" t="shared" si="13" ref="M13:M19">J13&amp;":"&amp;L13</f>
        <v>0:0</v>
      </c>
      <c r="N13" s="84">
        <f aca="true" t="shared" si="14" ref="N13:N19">TIME(J13,L13,0)*24/24</f>
        <v>0</v>
      </c>
    </row>
    <row r="14" spans="1:14" ht="12.75">
      <c r="A14" t="str">
        <f>'FT Non-Teaching (Bi-Wkly)'!A28</f>
        <v>Monday</v>
      </c>
      <c r="B14" s="70">
        <f>((('FT Non-Teaching (Bi-Wkly)'!F28-'FT Non-Teaching (Bi-Wkly)'!C28)-('FT Non-Teaching (Bi-Wkly)'!E28-'FT Non-Teaching (Bi-Wkly)'!D28))*24/24)</f>
        <v>0</v>
      </c>
      <c r="C14" s="33">
        <f t="shared" si="9"/>
        <v>0</v>
      </c>
      <c r="D14" s="33">
        <f aca="true" t="shared" si="15" ref="D14:D19">MINUTE(B14)</f>
        <v>0</v>
      </c>
      <c r="E14" s="33">
        <f aca="true" t="shared" si="16" ref="E14:E19">IF(D14&lt;=7,0,IF(AND(D14&gt;=8,D14&lt;=22),15,IF(AND(D14&gt;=23,D14&lt;=37),30,IF(AND(D14&gt;=38,D14&lt;=52),45,60))))</f>
        <v>0</v>
      </c>
      <c r="F14" s="33" t="str">
        <f aca="true" t="shared" si="17" ref="F14:F19">C14&amp;":"&amp;E14</f>
        <v>0:0</v>
      </c>
      <c r="G14" s="74">
        <f aca="true" t="shared" si="18" ref="G14:G19">TIME(C14,E14,0)*24/24</f>
        <v>0</v>
      </c>
      <c r="H14" s="74">
        <f>'FT Non-Teaching (Bi-Wkly)'!E28-'FT Non-Teaching (Bi-Wkly)'!D28</f>
        <v>0</v>
      </c>
      <c r="I14" s="84">
        <f>IF((('FT Non-Teaching (Bi-Wkly)'!F28-'FT Non-Teaching (Bi-Wkly)'!C28)-('FT Non-Teaching (Bi-Wkly)'!E28-'FT Non-Teaching (Bi-Wkly)'!D28))*24&gt;8,(('FT Non-Teaching (Bi-Wkly)'!F28-'FT Non-Teaching (Bi-Wkly)'!C28)-('FT Non-Teaching (Bi-Wkly)'!E28-'FT Non-Teaching (Bi-Wkly)'!D28))*24-8,0)/24</f>
        <v>0</v>
      </c>
      <c r="J14" s="85">
        <f t="shared" si="10"/>
        <v>0</v>
      </c>
      <c r="K14" s="85">
        <f t="shared" si="11"/>
        <v>0</v>
      </c>
      <c r="L14" s="85">
        <f t="shared" si="12"/>
        <v>0</v>
      </c>
      <c r="M14" s="84" t="str">
        <f t="shared" si="13"/>
        <v>0:0</v>
      </c>
      <c r="N14" s="84">
        <f t="shared" si="14"/>
        <v>0</v>
      </c>
    </row>
    <row r="15" spans="1:14" ht="12.75">
      <c r="A15" t="str">
        <f>'FT Non-Teaching (Bi-Wkly)'!A29</f>
        <v>Tuesday</v>
      </c>
      <c r="B15" s="70">
        <f>((('FT Non-Teaching (Bi-Wkly)'!F29-'FT Non-Teaching (Bi-Wkly)'!C29)-('FT Non-Teaching (Bi-Wkly)'!E29-'FT Non-Teaching (Bi-Wkly)'!D29))*24/24)</f>
        <v>0</v>
      </c>
      <c r="C15" s="33">
        <f t="shared" si="9"/>
        <v>0</v>
      </c>
      <c r="D15" s="33">
        <f t="shared" si="15"/>
        <v>0</v>
      </c>
      <c r="E15" s="33">
        <f t="shared" si="16"/>
        <v>0</v>
      </c>
      <c r="F15" s="33" t="str">
        <f t="shared" si="17"/>
        <v>0:0</v>
      </c>
      <c r="G15" s="74">
        <f t="shared" si="18"/>
        <v>0</v>
      </c>
      <c r="H15" s="74">
        <f>'FT Non-Teaching (Bi-Wkly)'!E29-'FT Non-Teaching (Bi-Wkly)'!D29</f>
        <v>0</v>
      </c>
      <c r="I15" s="84">
        <f>IF((('FT Non-Teaching (Bi-Wkly)'!F29-'FT Non-Teaching (Bi-Wkly)'!C29)-('FT Non-Teaching (Bi-Wkly)'!E29-'FT Non-Teaching (Bi-Wkly)'!D29))*24&gt;8,(('FT Non-Teaching (Bi-Wkly)'!F29-'FT Non-Teaching (Bi-Wkly)'!C29)-('FT Non-Teaching (Bi-Wkly)'!E29-'FT Non-Teaching (Bi-Wkly)'!D29))*24-8,0)/24</f>
        <v>0</v>
      </c>
      <c r="J15" s="85">
        <f t="shared" si="10"/>
        <v>0</v>
      </c>
      <c r="K15" s="85">
        <f t="shared" si="11"/>
        <v>0</v>
      </c>
      <c r="L15" s="85">
        <f t="shared" si="12"/>
        <v>0</v>
      </c>
      <c r="M15" s="84" t="str">
        <f t="shared" si="13"/>
        <v>0:0</v>
      </c>
      <c r="N15" s="84">
        <f t="shared" si="14"/>
        <v>0</v>
      </c>
    </row>
    <row r="16" spans="1:14" s="72" customFormat="1" ht="12.75">
      <c r="A16" t="str">
        <f>'FT Non-Teaching (Bi-Wkly)'!A30</f>
        <v>Wednesday</v>
      </c>
      <c r="B16" s="70">
        <f>((('FT Non-Teaching (Bi-Wkly)'!F30-'FT Non-Teaching (Bi-Wkly)'!C30)-('FT Non-Teaching (Bi-Wkly)'!E30-'FT Non-Teaching (Bi-Wkly)'!D30))*24/24)</f>
        <v>0</v>
      </c>
      <c r="C16" s="73">
        <f t="shared" si="9"/>
        <v>0</v>
      </c>
      <c r="D16" s="73">
        <f t="shared" si="15"/>
        <v>0</v>
      </c>
      <c r="E16" s="33">
        <f t="shared" si="16"/>
        <v>0</v>
      </c>
      <c r="F16" s="73" t="str">
        <f t="shared" si="17"/>
        <v>0:0</v>
      </c>
      <c r="G16" s="74">
        <f t="shared" si="18"/>
        <v>0</v>
      </c>
      <c r="H16" s="74">
        <f>'FT Non-Teaching (Bi-Wkly)'!E30-'FT Non-Teaching (Bi-Wkly)'!D30</f>
        <v>0</v>
      </c>
      <c r="I16" s="84">
        <f>IF((('FT Non-Teaching (Bi-Wkly)'!F30-'FT Non-Teaching (Bi-Wkly)'!C30)-('FT Non-Teaching (Bi-Wkly)'!E30-'FT Non-Teaching (Bi-Wkly)'!D30))*24&gt;8,(('FT Non-Teaching (Bi-Wkly)'!F30-'FT Non-Teaching (Bi-Wkly)'!C30)-('FT Non-Teaching (Bi-Wkly)'!E30-'FT Non-Teaching (Bi-Wkly)'!D30))*24-8,0)/24</f>
        <v>0</v>
      </c>
      <c r="J16" s="85">
        <f t="shared" si="10"/>
        <v>0</v>
      </c>
      <c r="K16" s="85">
        <f t="shared" si="11"/>
        <v>0</v>
      </c>
      <c r="L16" s="85">
        <f t="shared" si="12"/>
        <v>0</v>
      </c>
      <c r="M16" s="84" t="str">
        <f t="shared" si="13"/>
        <v>0:0</v>
      </c>
      <c r="N16" s="84">
        <f t="shared" si="14"/>
        <v>0</v>
      </c>
    </row>
    <row r="17" spans="1:14" ht="12.75">
      <c r="A17" t="str">
        <f>'FT Non-Teaching (Bi-Wkly)'!A31</f>
        <v>Thursday</v>
      </c>
      <c r="B17" s="70">
        <f>((('FT Non-Teaching (Bi-Wkly)'!F31-'FT Non-Teaching (Bi-Wkly)'!C31)-('FT Non-Teaching (Bi-Wkly)'!E31-'FT Non-Teaching (Bi-Wkly)'!D31))*24/24)</f>
        <v>0</v>
      </c>
      <c r="C17" s="33">
        <f t="shared" si="9"/>
        <v>0</v>
      </c>
      <c r="D17" s="33">
        <f t="shared" si="15"/>
        <v>0</v>
      </c>
      <c r="E17" s="33">
        <f t="shared" si="16"/>
        <v>0</v>
      </c>
      <c r="F17" s="33" t="str">
        <f t="shared" si="17"/>
        <v>0:0</v>
      </c>
      <c r="G17" s="74">
        <f t="shared" si="18"/>
        <v>0</v>
      </c>
      <c r="H17" s="74">
        <f>'FT Non-Teaching (Bi-Wkly)'!E31-'FT Non-Teaching (Bi-Wkly)'!D31</f>
        <v>0</v>
      </c>
      <c r="I17" s="84">
        <f>IF((('FT Non-Teaching (Bi-Wkly)'!F31-'FT Non-Teaching (Bi-Wkly)'!C31)-('FT Non-Teaching (Bi-Wkly)'!E31-'FT Non-Teaching (Bi-Wkly)'!D31))*24&gt;8,(('FT Non-Teaching (Bi-Wkly)'!F31-'FT Non-Teaching (Bi-Wkly)'!C31)-('FT Non-Teaching (Bi-Wkly)'!E31-'FT Non-Teaching (Bi-Wkly)'!D31))*24-8,0)/24</f>
        <v>0</v>
      </c>
      <c r="J17" s="85">
        <f t="shared" si="10"/>
        <v>0</v>
      </c>
      <c r="K17" s="85">
        <f t="shared" si="11"/>
        <v>0</v>
      </c>
      <c r="L17" s="85">
        <f t="shared" si="12"/>
        <v>0</v>
      </c>
      <c r="M17" s="84" t="str">
        <f t="shared" si="13"/>
        <v>0:0</v>
      </c>
      <c r="N17" s="84">
        <f t="shared" si="14"/>
        <v>0</v>
      </c>
    </row>
    <row r="18" spans="1:14" ht="12.75">
      <c r="A18" t="str">
        <f>'FT Non-Teaching (Bi-Wkly)'!A32</f>
        <v>Friday</v>
      </c>
      <c r="B18" s="70">
        <f>((('FT Non-Teaching (Bi-Wkly)'!F32-'FT Non-Teaching (Bi-Wkly)'!C32)-('FT Non-Teaching (Bi-Wkly)'!E32-'FT Non-Teaching (Bi-Wkly)'!D32))*24/24)</f>
        <v>0</v>
      </c>
      <c r="C18" s="33">
        <f t="shared" si="9"/>
        <v>0</v>
      </c>
      <c r="D18" s="33">
        <f t="shared" si="15"/>
        <v>0</v>
      </c>
      <c r="E18" s="33">
        <f t="shared" si="16"/>
        <v>0</v>
      </c>
      <c r="F18" s="33" t="str">
        <f t="shared" si="17"/>
        <v>0:0</v>
      </c>
      <c r="G18" s="74">
        <f t="shared" si="18"/>
        <v>0</v>
      </c>
      <c r="H18" s="74">
        <f>'FT Non-Teaching (Bi-Wkly)'!E32-'FT Non-Teaching (Bi-Wkly)'!D32</f>
        <v>0</v>
      </c>
      <c r="I18" s="84">
        <f>IF((('FT Non-Teaching (Bi-Wkly)'!F32-'FT Non-Teaching (Bi-Wkly)'!C32)-('FT Non-Teaching (Bi-Wkly)'!E32-'FT Non-Teaching (Bi-Wkly)'!D32))*24&gt;8,(('FT Non-Teaching (Bi-Wkly)'!F32-'FT Non-Teaching (Bi-Wkly)'!C32)-('FT Non-Teaching (Bi-Wkly)'!E32-'FT Non-Teaching (Bi-Wkly)'!D32))*24-8,0)/24</f>
        <v>0</v>
      </c>
      <c r="J18" s="85">
        <f t="shared" si="10"/>
        <v>0</v>
      </c>
      <c r="K18" s="85">
        <f t="shared" si="11"/>
        <v>0</v>
      </c>
      <c r="L18" s="85">
        <f t="shared" si="12"/>
        <v>0</v>
      </c>
      <c r="M18" s="84" t="str">
        <f t="shared" si="13"/>
        <v>0:0</v>
      </c>
      <c r="N18" s="84">
        <f t="shared" si="14"/>
        <v>0</v>
      </c>
    </row>
    <row r="19" spans="1:14" ht="12.75">
      <c r="A19" t="str">
        <f>'FT Non-Teaching (Bi-Wkly)'!A33</f>
        <v>Saturday</v>
      </c>
      <c r="B19" s="70">
        <f>((('FT Non-Teaching (Bi-Wkly)'!F33-'FT Non-Teaching (Bi-Wkly)'!C33)-('FT Non-Teaching (Bi-Wkly)'!E33-'FT Non-Teaching (Bi-Wkly)'!D33))*24/24)</f>
        <v>0</v>
      </c>
      <c r="C19" s="33">
        <f t="shared" si="9"/>
        <v>0</v>
      </c>
      <c r="D19" s="33">
        <f t="shared" si="15"/>
        <v>0</v>
      </c>
      <c r="E19" s="33">
        <f t="shared" si="16"/>
        <v>0</v>
      </c>
      <c r="F19" s="33" t="str">
        <f t="shared" si="17"/>
        <v>0:0</v>
      </c>
      <c r="G19" s="74">
        <f t="shared" si="18"/>
        <v>0</v>
      </c>
      <c r="H19" s="74">
        <f>'FT Non-Teaching (Bi-Wkly)'!E33-'FT Non-Teaching (Bi-Wkly)'!D33</f>
        <v>0</v>
      </c>
      <c r="I19" s="84">
        <f>IF((('FT Non-Teaching (Bi-Wkly)'!F33-'FT Non-Teaching (Bi-Wkly)'!C33)-('FT Non-Teaching (Bi-Wkly)'!E33-'FT Non-Teaching (Bi-Wkly)'!D33))*24&gt;8,(('FT Non-Teaching (Bi-Wkly)'!F33-'FT Non-Teaching (Bi-Wkly)'!C33)-('FT Non-Teaching (Bi-Wkly)'!E33-'FT Non-Teaching (Bi-Wkly)'!D33))*24-8,0)/24</f>
        <v>0</v>
      </c>
      <c r="J19" s="85">
        <f t="shared" si="10"/>
        <v>0</v>
      </c>
      <c r="K19" s="85">
        <f t="shared" si="11"/>
        <v>0</v>
      </c>
      <c r="L19" s="85">
        <f t="shared" si="12"/>
        <v>0</v>
      </c>
      <c r="M19" s="84" t="str">
        <f t="shared" si="13"/>
        <v>0:0</v>
      </c>
      <c r="N19" s="84">
        <f t="shared" si="14"/>
        <v>0</v>
      </c>
    </row>
    <row r="20" spans="2:8" s="77" customFormat="1" ht="12.75">
      <c r="B20" s="784" t="s">
        <v>226</v>
      </c>
      <c r="C20" s="784"/>
      <c r="D20" s="784"/>
      <c r="E20" s="784"/>
      <c r="F20" s="784"/>
      <c r="G20" s="784"/>
      <c r="H20" s="784"/>
    </row>
    <row r="21" spans="2:8" s="77" customFormat="1" ht="12.75">
      <c r="B21" s="784"/>
      <c r="C21" s="784"/>
      <c r="D21" s="784"/>
      <c r="E21" s="784"/>
      <c r="F21" s="784"/>
      <c r="G21" s="784"/>
      <c r="H21" s="784"/>
    </row>
    <row r="22" spans="2:6" ht="12.75">
      <c r="B22" s="70"/>
      <c r="F22" s="7"/>
    </row>
    <row r="23" spans="1:2" ht="12.75">
      <c r="A23" s="69" t="s">
        <v>425</v>
      </c>
      <c r="B23" s="70"/>
    </row>
    <row r="24" spans="2:8" ht="25.5">
      <c r="B24" s="78" t="s">
        <v>227</v>
      </c>
      <c r="C24" s="78" t="s">
        <v>236</v>
      </c>
      <c r="D24" s="78" t="s">
        <v>228</v>
      </c>
      <c r="E24" s="78" t="s">
        <v>229</v>
      </c>
      <c r="F24" s="78" t="s">
        <v>230</v>
      </c>
      <c r="G24" s="79" t="s">
        <v>231</v>
      </c>
      <c r="H24" s="79" t="s">
        <v>251</v>
      </c>
    </row>
    <row r="25" spans="1:11" ht="12.75">
      <c r="A25" t="str">
        <f>'FT Non-Teaching (Bi-Wkly)'!A16</f>
        <v>Sunday</v>
      </c>
      <c r="B25" s="456">
        <f>ROUND(MOD('FT Non-Teaching (Bi-Wkly)'!F16-ROUND(('FT Non-Teaching (Bi-Wkly)'!C16+"0:01")*96,0)/96,1)*96,0)/4</f>
        <v>0</v>
      </c>
      <c r="C25" s="456">
        <f>INT(B25)</f>
        <v>0</v>
      </c>
      <c r="D25" s="456">
        <f>B25-INT(B25)</f>
        <v>0</v>
      </c>
      <c r="E25" s="33">
        <f>D25*60</f>
        <v>0</v>
      </c>
      <c r="F25" s="33" t="str">
        <f>C25&amp;":"&amp;E25</f>
        <v>0:0</v>
      </c>
      <c r="G25" s="74">
        <f>TIME(C25,E25,0)-H25</f>
        <v>0</v>
      </c>
      <c r="H25" s="74">
        <f>'FT Non-Teaching (Bi-Wkly)'!E16-'FT Non-Teaching (Bi-Wkly)'!D16</f>
        <v>0</v>
      </c>
      <c r="J25" s="454"/>
      <c r="K25" s="454"/>
    </row>
    <row r="26" spans="1:10" ht="12.75">
      <c r="A26" t="str">
        <f>'FT Non-Teaching (Bi-Wkly)'!A17</f>
        <v>Monday</v>
      </c>
      <c r="B26" s="456">
        <f>ROUND(MOD('FT Non-Teaching (Bi-Wkly)'!F17-ROUND(('FT Non-Teaching (Bi-Wkly)'!C17+"0:01")*96,0)/96,1)*96,0)/4</f>
        <v>0</v>
      </c>
      <c r="C26" s="456">
        <f aca="true" t="shared" si="19" ref="C26:C31">INT(B26)</f>
        <v>0</v>
      </c>
      <c r="D26" s="456">
        <f aca="true" t="shared" si="20" ref="D26:D31">B26-INT(B26)</f>
        <v>0</v>
      </c>
      <c r="E26" s="33">
        <f aca="true" t="shared" si="21" ref="E26:E31">D26*60</f>
        <v>0</v>
      </c>
      <c r="F26" s="33" t="str">
        <f aca="true" t="shared" si="22" ref="F26:F31">C26&amp;":"&amp;E26</f>
        <v>0:0</v>
      </c>
      <c r="G26" s="74">
        <f aca="true" t="shared" si="23" ref="G26:G31">TIME(C26,E26,0)-H26</f>
        <v>0</v>
      </c>
      <c r="H26" s="74">
        <f>'FT Non-Teaching (Bi-Wkly)'!E17-'FT Non-Teaching (Bi-Wkly)'!D17</f>
        <v>0</v>
      </c>
      <c r="J26" s="454"/>
    </row>
    <row r="27" spans="1:10" ht="12.75">
      <c r="A27" t="str">
        <f>'FT Non-Teaching (Bi-Wkly)'!A18</f>
        <v>Tuesday</v>
      </c>
      <c r="B27" s="456">
        <f>ROUND(MOD('FT Non-Teaching (Bi-Wkly)'!F18-ROUND(('FT Non-Teaching (Bi-Wkly)'!C18+"0:01")*96,0)/96,1)*96,0)/4</f>
        <v>0</v>
      </c>
      <c r="C27" s="456">
        <f t="shared" si="19"/>
        <v>0</v>
      </c>
      <c r="D27" s="456">
        <f t="shared" si="20"/>
        <v>0</v>
      </c>
      <c r="E27" s="33">
        <f t="shared" si="21"/>
        <v>0</v>
      </c>
      <c r="F27" s="33" t="str">
        <f t="shared" si="22"/>
        <v>0:0</v>
      </c>
      <c r="G27" s="74">
        <f t="shared" si="23"/>
        <v>0</v>
      </c>
      <c r="H27" s="74">
        <f>'FT Non-Teaching (Bi-Wkly)'!E18-'FT Non-Teaching (Bi-Wkly)'!D18</f>
        <v>0</v>
      </c>
      <c r="J27" s="454"/>
    </row>
    <row r="28" spans="1:10" ht="12.75">
      <c r="A28" t="str">
        <f>'FT Non-Teaching (Bi-Wkly)'!A19</f>
        <v>Wednesday</v>
      </c>
      <c r="B28" s="456">
        <f>ROUND(MOD('FT Non-Teaching (Bi-Wkly)'!F19-ROUND(('FT Non-Teaching (Bi-Wkly)'!C19+"0:01")*96,0)/96,1)*96,0)/4</f>
        <v>0</v>
      </c>
      <c r="C28" s="456">
        <f t="shared" si="19"/>
        <v>0</v>
      </c>
      <c r="D28" s="456">
        <f t="shared" si="20"/>
        <v>0</v>
      </c>
      <c r="E28" s="33">
        <f t="shared" si="21"/>
        <v>0</v>
      </c>
      <c r="F28" s="33" t="str">
        <f t="shared" si="22"/>
        <v>0:0</v>
      </c>
      <c r="G28" s="74">
        <f t="shared" si="23"/>
        <v>0</v>
      </c>
      <c r="H28" s="74">
        <f>'FT Non-Teaching (Bi-Wkly)'!E19-'FT Non-Teaching (Bi-Wkly)'!D19</f>
        <v>0</v>
      </c>
      <c r="J28" s="454"/>
    </row>
    <row r="29" spans="1:10" ht="12.75">
      <c r="A29" t="str">
        <f>'FT Non-Teaching (Bi-Wkly)'!A20</f>
        <v>Thursday</v>
      </c>
      <c r="B29" s="456">
        <f>ROUND(MOD('FT Non-Teaching (Bi-Wkly)'!F20-ROUND(('FT Non-Teaching (Bi-Wkly)'!C20+"0:01")*96,0)/96,1)*96,0)/4</f>
        <v>0</v>
      </c>
      <c r="C29" s="456">
        <f t="shared" si="19"/>
        <v>0</v>
      </c>
      <c r="D29" s="456">
        <f t="shared" si="20"/>
        <v>0</v>
      </c>
      <c r="E29" s="33">
        <f t="shared" si="21"/>
        <v>0</v>
      </c>
      <c r="F29" s="33" t="str">
        <f t="shared" si="22"/>
        <v>0:0</v>
      </c>
      <c r="G29" s="74">
        <f t="shared" si="23"/>
        <v>0</v>
      </c>
      <c r="H29" s="74">
        <f>'FT Non-Teaching (Bi-Wkly)'!E20-'FT Non-Teaching (Bi-Wkly)'!D20</f>
        <v>0</v>
      </c>
      <c r="J29" s="454"/>
    </row>
    <row r="30" spans="1:10" ht="12.75">
      <c r="A30" t="str">
        <f>'FT Non-Teaching (Bi-Wkly)'!A21</f>
        <v>Friday</v>
      </c>
      <c r="B30" s="456">
        <f>ROUND(MOD('FT Non-Teaching (Bi-Wkly)'!F21-ROUND(('FT Non-Teaching (Bi-Wkly)'!C21+"0:01")*96,0)/96,1)*96,0)/4</f>
        <v>0</v>
      </c>
      <c r="C30" s="456">
        <f t="shared" si="19"/>
        <v>0</v>
      </c>
      <c r="D30" s="456">
        <f t="shared" si="20"/>
        <v>0</v>
      </c>
      <c r="E30" s="33">
        <f t="shared" si="21"/>
        <v>0</v>
      </c>
      <c r="F30" s="33" t="str">
        <f t="shared" si="22"/>
        <v>0:0</v>
      </c>
      <c r="G30" s="74">
        <f t="shared" si="23"/>
        <v>0</v>
      </c>
      <c r="H30" s="74">
        <f>'FT Non-Teaching (Bi-Wkly)'!E21-'FT Non-Teaching (Bi-Wkly)'!D21</f>
        <v>0</v>
      </c>
      <c r="J30" s="454"/>
    </row>
    <row r="31" spans="1:10" ht="12.75">
      <c r="A31" t="str">
        <f>'FT Non-Teaching (Bi-Wkly)'!A22</f>
        <v>Saturday</v>
      </c>
      <c r="B31" s="456">
        <f>ROUND(MOD('FT Non-Teaching (Bi-Wkly)'!F22-ROUND(('FT Non-Teaching (Bi-Wkly)'!C22+"0:01")*96,0)/96,1)*96,0)/4</f>
        <v>0</v>
      </c>
      <c r="C31" s="456">
        <f t="shared" si="19"/>
        <v>0</v>
      </c>
      <c r="D31" s="456">
        <f t="shared" si="20"/>
        <v>0</v>
      </c>
      <c r="E31" s="33">
        <f t="shared" si="21"/>
        <v>0</v>
      </c>
      <c r="F31" s="33" t="str">
        <f t="shared" si="22"/>
        <v>0:0</v>
      </c>
      <c r="G31" s="74">
        <f t="shared" si="23"/>
        <v>0</v>
      </c>
      <c r="H31" s="74">
        <f>'FT Non-Teaching (Bi-Wkly)'!E22-'FT Non-Teaching (Bi-Wkly)'!D22</f>
        <v>0</v>
      </c>
      <c r="J31" s="454"/>
    </row>
    <row r="34" spans="2:11" ht="25.5">
      <c r="B34" s="78" t="s">
        <v>227</v>
      </c>
      <c r="C34" s="78" t="s">
        <v>236</v>
      </c>
      <c r="D34" s="78" t="s">
        <v>228</v>
      </c>
      <c r="E34" s="78" t="s">
        <v>229</v>
      </c>
      <c r="F34" s="78" t="s">
        <v>230</v>
      </c>
      <c r="G34" s="79" t="s">
        <v>231</v>
      </c>
      <c r="H34" s="79" t="s">
        <v>251</v>
      </c>
      <c r="I34" s="7"/>
      <c r="J34" s="7"/>
      <c r="K34" s="7"/>
    </row>
    <row r="35" spans="1:11" ht="12.75">
      <c r="A35" t="str">
        <f>'FT Non-Teaching (Bi-Wkly)'!A26</f>
        <v>Day</v>
      </c>
      <c r="B35" s="456">
        <f>ROUND(MOD('FT Non-Teaching (Bi-Wkly)'!F27-ROUND(('FT Non-Teaching (Bi-Wkly)'!C27+"0:01")*96,0)/96,1)*96,0)/4</f>
        <v>0</v>
      </c>
      <c r="C35" s="456">
        <f>INT(B35)</f>
        <v>0</v>
      </c>
      <c r="D35" s="456">
        <f>B35-INT(B35)</f>
        <v>0</v>
      </c>
      <c r="E35" s="33">
        <f>D35*60</f>
        <v>0</v>
      </c>
      <c r="F35" s="33" t="str">
        <f>C35&amp;":"&amp;E35</f>
        <v>0:0</v>
      </c>
      <c r="G35" s="74">
        <f>TIME(C35,E35,0)-H35</f>
        <v>0</v>
      </c>
      <c r="H35" s="74">
        <f>'FT Non-Teaching (Bi-Wkly)'!E27-'FT Non-Teaching (Bi-Wkly)'!D27</f>
        <v>0</v>
      </c>
      <c r="I35" s="33"/>
      <c r="J35" s="7"/>
      <c r="K35" s="457"/>
    </row>
    <row r="36" spans="1:11" ht="12.75">
      <c r="A36" t="str">
        <f>'FT Non-Teaching (Bi-Wkly)'!A27</f>
        <v>Sunday</v>
      </c>
      <c r="B36" s="456">
        <f>ROUND(MOD('FT Non-Teaching (Bi-Wkly)'!F28-ROUND(('FT Non-Teaching (Bi-Wkly)'!C28+"0:01")*96,0)/96,1)*96,0)/4</f>
        <v>0</v>
      </c>
      <c r="C36" s="456">
        <f aca="true" t="shared" si="24" ref="C36:C41">INT(B36)</f>
        <v>0</v>
      </c>
      <c r="D36" s="456">
        <f aca="true" t="shared" si="25" ref="D36:D41">B36-INT(B36)</f>
        <v>0</v>
      </c>
      <c r="E36" s="33">
        <f aca="true" t="shared" si="26" ref="E36:E41">D36*60</f>
        <v>0</v>
      </c>
      <c r="F36" s="33" t="str">
        <f aca="true" t="shared" si="27" ref="F36:F41">C36&amp;":"&amp;E36</f>
        <v>0:0</v>
      </c>
      <c r="G36" s="74">
        <f aca="true" t="shared" si="28" ref="G36:G41">TIME(C36,E36,0)-H36</f>
        <v>0</v>
      </c>
      <c r="H36" s="74">
        <f>'FT Non-Teaching (Bi-Wkly)'!E28-'FT Non-Teaching (Bi-Wkly)'!D28</f>
        <v>0</v>
      </c>
      <c r="I36" s="33"/>
      <c r="J36" s="7"/>
      <c r="K36" s="457"/>
    </row>
    <row r="37" spans="1:13" ht="12.75">
      <c r="A37" t="str">
        <f>'FT Non-Teaching (Bi-Wkly)'!A28</f>
        <v>Monday</v>
      </c>
      <c r="B37" s="456">
        <f>ROUND(MOD('FT Non-Teaching (Bi-Wkly)'!F29-ROUND(('FT Non-Teaching (Bi-Wkly)'!C29+"0:01")*96,0)/96,1)*96,0)/4</f>
        <v>0</v>
      </c>
      <c r="C37" s="456">
        <f t="shared" si="24"/>
        <v>0</v>
      </c>
      <c r="D37" s="456">
        <f t="shared" si="25"/>
        <v>0</v>
      </c>
      <c r="E37" s="33">
        <f t="shared" si="26"/>
        <v>0</v>
      </c>
      <c r="F37" s="33" t="str">
        <f t="shared" si="27"/>
        <v>0:0</v>
      </c>
      <c r="G37" s="74">
        <f t="shared" si="28"/>
        <v>0</v>
      </c>
      <c r="H37" s="74">
        <f>'FT Non-Teaching (Bi-Wkly)'!E29-'FT Non-Teaching (Bi-Wkly)'!D29</f>
        <v>0</v>
      </c>
      <c r="I37" s="33"/>
      <c r="J37" s="7"/>
      <c r="K37" s="457"/>
      <c r="M37" s="70"/>
    </row>
    <row r="38" spans="1:11" ht="12.75">
      <c r="A38" t="str">
        <f>'FT Non-Teaching (Bi-Wkly)'!A29</f>
        <v>Tuesday</v>
      </c>
      <c r="B38" s="456">
        <f>ROUND(MOD('FT Non-Teaching (Bi-Wkly)'!F30-ROUND(('FT Non-Teaching (Bi-Wkly)'!C30+"0:01")*96,0)/96,1)*96,0)/4</f>
        <v>0</v>
      </c>
      <c r="C38" s="456">
        <f t="shared" si="24"/>
        <v>0</v>
      </c>
      <c r="D38" s="456">
        <f t="shared" si="25"/>
        <v>0</v>
      </c>
      <c r="E38" s="33">
        <f t="shared" si="26"/>
        <v>0</v>
      </c>
      <c r="F38" s="33" t="str">
        <f t="shared" si="27"/>
        <v>0:0</v>
      </c>
      <c r="G38" s="74">
        <f t="shared" si="28"/>
        <v>0</v>
      </c>
      <c r="H38" s="74">
        <f>'FT Non-Teaching (Bi-Wkly)'!E30-'FT Non-Teaching (Bi-Wkly)'!D30</f>
        <v>0</v>
      </c>
      <c r="I38" s="33"/>
      <c r="J38" s="7"/>
      <c r="K38" s="457"/>
    </row>
    <row r="39" spans="1:11" ht="12.75">
      <c r="A39" t="str">
        <f>'FT Non-Teaching (Bi-Wkly)'!A30</f>
        <v>Wednesday</v>
      </c>
      <c r="B39" s="456">
        <f>ROUND(MOD('FT Non-Teaching (Bi-Wkly)'!F31-ROUND(('FT Non-Teaching (Bi-Wkly)'!C31+"0:01")*96,0)/96,1)*96,0)/4</f>
        <v>0</v>
      </c>
      <c r="C39" s="456">
        <f t="shared" si="24"/>
        <v>0</v>
      </c>
      <c r="D39" s="456">
        <f t="shared" si="25"/>
        <v>0</v>
      </c>
      <c r="E39" s="33">
        <f t="shared" si="26"/>
        <v>0</v>
      </c>
      <c r="F39" s="33" t="str">
        <f t="shared" si="27"/>
        <v>0:0</v>
      </c>
      <c r="G39" s="74">
        <f t="shared" si="28"/>
        <v>0</v>
      </c>
      <c r="H39" s="74">
        <f>'FT Non-Teaching (Bi-Wkly)'!E31-'FT Non-Teaching (Bi-Wkly)'!D31</f>
        <v>0</v>
      </c>
      <c r="I39" s="33"/>
      <c r="J39" s="7"/>
      <c r="K39" s="457"/>
    </row>
    <row r="40" spans="1:11" ht="12.75">
      <c r="A40" t="str">
        <f>'FT Non-Teaching (Bi-Wkly)'!A31</f>
        <v>Thursday</v>
      </c>
      <c r="B40" s="456">
        <f>ROUND(MOD('FT Non-Teaching (Bi-Wkly)'!F32-ROUND(('FT Non-Teaching (Bi-Wkly)'!C32+"0:01")*96,0)/96,1)*96,0)/4</f>
        <v>0</v>
      </c>
      <c r="C40" s="456">
        <f t="shared" si="24"/>
        <v>0</v>
      </c>
      <c r="D40" s="456">
        <f t="shared" si="25"/>
        <v>0</v>
      </c>
      <c r="E40" s="33">
        <f t="shared" si="26"/>
        <v>0</v>
      </c>
      <c r="F40" s="33" t="str">
        <f t="shared" si="27"/>
        <v>0:0</v>
      </c>
      <c r="G40" s="74">
        <f t="shared" si="28"/>
        <v>0</v>
      </c>
      <c r="H40" s="74">
        <f>'FT Non-Teaching (Bi-Wkly)'!E32-'FT Non-Teaching (Bi-Wkly)'!D32</f>
        <v>0</v>
      </c>
      <c r="I40" s="33"/>
      <c r="J40" s="7"/>
      <c r="K40" s="457"/>
    </row>
    <row r="41" spans="1:11" ht="12.75">
      <c r="A41" t="str">
        <f>'FT Non-Teaching (Bi-Wkly)'!A32</f>
        <v>Friday</v>
      </c>
      <c r="B41" s="456">
        <f>ROUND(MOD('FT Non-Teaching (Bi-Wkly)'!F33-ROUND(('FT Non-Teaching (Bi-Wkly)'!C33+"0:01")*96,0)/96,1)*96,0)/4</f>
        <v>0</v>
      </c>
      <c r="C41" s="456">
        <f t="shared" si="24"/>
        <v>0</v>
      </c>
      <c r="D41" s="456">
        <f t="shared" si="25"/>
        <v>0</v>
      </c>
      <c r="E41" s="33">
        <f t="shared" si="26"/>
        <v>0</v>
      </c>
      <c r="F41" s="33" t="str">
        <f t="shared" si="27"/>
        <v>0:0</v>
      </c>
      <c r="G41" s="74">
        <f t="shared" si="28"/>
        <v>0</v>
      </c>
      <c r="H41" s="74">
        <f>'FT Non-Teaching (Bi-Wkly)'!E33-'FT Non-Teaching (Bi-Wkly)'!D33</f>
        <v>0</v>
      </c>
      <c r="I41" s="33"/>
      <c r="J41" s="7"/>
      <c r="K41" s="457"/>
    </row>
    <row r="42" spans="2:6" ht="12.75">
      <c r="B42" s="455"/>
      <c r="F42" s="455"/>
    </row>
    <row r="45" spans="4:7" ht="12.75">
      <c r="D45" s="454"/>
      <c r="E45" s="454"/>
      <c r="G45" s="454"/>
    </row>
    <row r="46" ht="12.75">
      <c r="F46" s="455"/>
    </row>
    <row r="47" ht="12.75">
      <c r="F47" s="455"/>
    </row>
    <row r="48" ht="12.75">
      <c r="F48" s="455"/>
    </row>
    <row r="49" ht="12.75">
      <c r="F49" s="455"/>
    </row>
    <row r="50" ht="12.75">
      <c r="F50" s="455"/>
    </row>
    <row r="51" ht="12.75">
      <c r="F51" s="455"/>
    </row>
    <row r="52" ht="12.75">
      <c r="F52" s="455"/>
    </row>
  </sheetData>
  <sheetProtection password="E508" sheet="1" objects="1" scenarios="1" selectLockedCells="1"/>
  <mergeCells count="2">
    <mergeCell ref="B9:H10"/>
    <mergeCell ref="B20:H2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U88"/>
  <sheetViews>
    <sheetView zoomScalePageLayoutView="0" workbookViewId="0" topLeftCell="A46">
      <selection activeCell="B56" sqref="B56"/>
    </sheetView>
  </sheetViews>
  <sheetFormatPr defaultColWidth="9.140625" defaultRowHeight="12.75"/>
  <cols>
    <col min="1" max="1" width="11.57421875" style="0" customWidth="1"/>
    <col min="2" max="2" width="13.8515625" style="33" customWidth="1"/>
    <col min="3" max="3" width="15.00390625" style="33" customWidth="1"/>
    <col min="4" max="4" width="16.57421875" style="33" customWidth="1"/>
    <col min="5" max="5" width="12.57421875" style="33" bestFit="1" customWidth="1"/>
    <col min="6" max="6" width="14.00390625" style="0" bestFit="1" customWidth="1"/>
    <col min="7" max="7" width="15.28125" style="0" customWidth="1"/>
    <col min="8" max="8" width="15.421875" style="0" customWidth="1"/>
    <col min="9" max="9" width="11.57421875" style="0" customWidth="1"/>
    <col min="10" max="10" width="15.421875" style="0" bestFit="1" customWidth="1"/>
    <col min="11" max="11" width="5.28125" style="0" bestFit="1" customWidth="1"/>
    <col min="12" max="12" width="15.421875" style="0" bestFit="1" customWidth="1"/>
    <col min="13" max="13" width="12.421875" style="0" bestFit="1" customWidth="1"/>
    <col min="14" max="14" width="12.57421875" style="0" bestFit="1" customWidth="1"/>
    <col min="15" max="15" width="13.8515625" style="0" customWidth="1"/>
    <col min="16" max="21" width="15.421875" style="0" customWidth="1"/>
  </cols>
  <sheetData>
    <row r="1" spans="1:21" s="531" customFormat="1" ht="25.5">
      <c r="A1" s="531" t="s">
        <v>0</v>
      </c>
      <c r="B1" s="532" t="s">
        <v>227</v>
      </c>
      <c r="C1" s="532" t="s">
        <v>236</v>
      </c>
      <c r="D1" s="532" t="s">
        <v>228</v>
      </c>
      <c r="E1" s="532" t="s">
        <v>229</v>
      </c>
      <c r="F1" s="532" t="s">
        <v>230</v>
      </c>
      <c r="G1" s="533" t="s">
        <v>231</v>
      </c>
      <c r="H1" s="533" t="s">
        <v>251</v>
      </c>
      <c r="I1" s="534" t="s">
        <v>234</v>
      </c>
      <c r="J1" s="534" t="s">
        <v>233</v>
      </c>
      <c r="K1" s="534"/>
      <c r="L1" s="534" t="s">
        <v>235</v>
      </c>
      <c r="M1" s="535" t="s">
        <v>232</v>
      </c>
      <c r="N1" s="534" t="s">
        <v>238</v>
      </c>
      <c r="O1" s="534" t="s">
        <v>237</v>
      </c>
      <c r="P1" s="536" t="s">
        <v>239</v>
      </c>
      <c r="Q1" s="536" t="s">
        <v>240</v>
      </c>
      <c r="R1" s="536" t="s">
        <v>241</v>
      </c>
      <c r="S1" s="537" t="s">
        <v>242</v>
      </c>
      <c r="T1" s="536" t="s">
        <v>243</v>
      </c>
      <c r="U1" s="536" t="s">
        <v>244</v>
      </c>
    </row>
    <row r="2" spans="1:21" s="538" customFormat="1" ht="12.75">
      <c r="A2" s="538" t="e">
        <f>#REF!</f>
        <v>#REF!</v>
      </c>
      <c r="B2" s="539" t="e">
        <f>(((#REF!-#REF!)-(#REF!-#REF!))*24/24)</f>
        <v>#REF!</v>
      </c>
      <c r="C2" s="540" t="e">
        <f aca="true" t="shared" si="0" ref="C2:C8">HOUR(B2)</f>
        <v>#REF!</v>
      </c>
      <c r="D2" s="540" t="e">
        <f>MINUTE(B2)</f>
        <v>#REF!</v>
      </c>
      <c r="E2" s="540" t="e">
        <f>IF(D2&lt;=7,0,IF(AND(D2&gt;=8,D2&lt;=22),15,IF(AND(D2&gt;=23,D2&lt;=37),30,IF(AND(D2&gt;=38,D2&lt;=52),45,60))))</f>
        <v>#REF!</v>
      </c>
      <c r="F2" s="540" t="e">
        <f>C2&amp;":"&amp;E2</f>
        <v>#REF!</v>
      </c>
      <c r="G2" s="541" t="e">
        <f>TIME(C2,E2,0)*24/24</f>
        <v>#REF!</v>
      </c>
      <c r="H2" s="541" t="e">
        <f>#REF!-#REF!</f>
        <v>#REF!</v>
      </c>
      <c r="I2" s="542" t="e">
        <f>IF(#REF!&gt;=TIME(19,1,0),#REF!*24-18,0)/24</f>
        <v>#REF!</v>
      </c>
      <c r="J2" s="543" t="e">
        <f>HOUR(I2)</f>
        <v>#REF!</v>
      </c>
      <c r="K2" s="543"/>
      <c r="L2" s="543" t="e">
        <f aca="true" t="shared" si="1" ref="L2:L8">MINUTE(I2)</f>
        <v>#REF!</v>
      </c>
      <c r="M2" s="543" t="e">
        <f>IF(L2&lt;=7,0,IF(AND(L2&gt;=8,L2&lt;=22),15,IF(AND(L2&gt;=23,L2&lt;=37),30,IF(AND(L2&gt;=38,L2&lt;=52),45,60))))</f>
        <v>#REF!</v>
      </c>
      <c r="N2" s="542" t="e">
        <f aca="true" t="shared" si="2" ref="N2:N8">J2&amp;":"&amp;M2</f>
        <v>#REF!</v>
      </c>
      <c r="O2" s="542" t="e">
        <f aca="true" t="shared" si="3" ref="O2:O8">TIME(J2,M2,0)*24/24</f>
        <v>#REF!</v>
      </c>
      <c r="P2" s="544" t="e">
        <f>IF(((#REF!-#REF!)-(#REF!-#REF!))*24&gt;8,((#REF!-#REF!)-(#REF!-#REF!))*24-8,0)/24</f>
        <v>#REF!</v>
      </c>
      <c r="Q2" s="545" t="e">
        <f>HOUR(P2)</f>
        <v>#REF!</v>
      </c>
      <c r="R2" s="545" t="e">
        <f>MINUTE(P2)</f>
        <v>#REF!</v>
      </c>
      <c r="S2" s="545" t="e">
        <f>IF(R2&lt;=7,0,IF(AND(R2&gt;=8,R2&lt;=22),15,IF(AND(R2&gt;=23,R2&lt;=37),30,IF(AND(R2&gt;=38,R2&lt;=52),45,60))))</f>
        <v>#REF!</v>
      </c>
      <c r="T2" s="544" t="e">
        <f>Q2&amp;":"&amp;S2</f>
        <v>#REF!</v>
      </c>
      <c r="U2" s="544" t="e">
        <f>TIME(Q2,S2,0)*24/24</f>
        <v>#REF!</v>
      </c>
    </row>
    <row r="3" spans="1:21" s="538" customFormat="1" ht="12.75">
      <c r="A3" s="538" t="e">
        <f>#REF!</f>
        <v>#REF!</v>
      </c>
      <c r="B3" s="539" t="e">
        <f>(((#REF!-#REF!)-(#REF!-#REF!))*24/24)</f>
        <v>#REF!</v>
      </c>
      <c r="C3" s="540" t="e">
        <f t="shared" si="0"/>
        <v>#REF!</v>
      </c>
      <c r="D3" s="540" t="e">
        <f aca="true" t="shared" si="4" ref="D3:D8">MINUTE(B3)</f>
        <v>#REF!</v>
      </c>
      <c r="E3" s="540" t="e">
        <f aca="true" t="shared" si="5" ref="E3:E8">IF(D3&lt;=7,0,IF(AND(D3&gt;=8,D3&lt;=22),15,IF(AND(D3&gt;=23,D3&lt;=37),30,IF(AND(D3&gt;=38,D3&lt;=52),45,60))))</f>
        <v>#REF!</v>
      </c>
      <c r="F3" s="540" t="e">
        <f aca="true" t="shared" si="6" ref="F3:F8">C3&amp;":"&amp;E3</f>
        <v>#REF!</v>
      </c>
      <c r="G3" s="541" t="e">
        <f aca="true" t="shared" si="7" ref="G3:G8">TIME(C3,E3,0)*24/24</f>
        <v>#REF!</v>
      </c>
      <c r="H3" s="541" t="e">
        <f>#REF!-#REF!</f>
        <v>#REF!</v>
      </c>
      <c r="I3" s="542" t="e">
        <f>IF(#REF!&gt;=TIME(19,1,0),#REF!*24-18,0)/24</f>
        <v>#REF!</v>
      </c>
      <c r="J3" s="543" t="e">
        <f aca="true" t="shared" si="8" ref="J3:J8">HOUR(I3)</f>
        <v>#REF!</v>
      </c>
      <c r="K3" s="543"/>
      <c r="L3" s="543" t="e">
        <f t="shared" si="1"/>
        <v>#REF!</v>
      </c>
      <c r="M3" s="543" t="e">
        <f aca="true" t="shared" si="9" ref="M3:M8">IF(L3&lt;=7,0,IF(AND(L3&gt;=8,L3&lt;=22),15,IF(AND(L3&gt;=23,L3&lt;=37),30,IF(AND(L3&gt;=38,L3&lt;=52),45,60))))</f>
        <v>#REF!</v>
      </c>
      <c r="N3" s="542" t="e">
        <f t="shared" si="2"/>
        <v>#REF!</v>
      </c>
      <c r="O3" s="542" t="e">
        <f t="shared" si="3"/>
        <v>#REF!</v>
      </c>
      <c r="P3" s="544" t="e">
        <f>IF(((#REF!-#REF!)-(#REF!-#REF!))*24&gt;8,((#REF!-#REF!)-(#REF!-#REF!))*24-8,0)/24</f>
        <v>#REF!</v>
      </c>
      <c r="Q3" s="545" t="e">
        <f aca="true" t="shared" si="10" ref="Q3:Q8">HOUR(P3)</f>
        <v>#REF!</v>
      </c>
      <c r="R3" s="545" t="e">
        <f aca="true" t="shared" si="11" ref="R3:R8">MINUTE(P3)</f>
        <v>#REF!</v>
      </c>
      <c r="S3" s="545" t="e">
        <f aca="true" t="shared" si="12" ref="S3:S8">IF(R3&lt;=7,0,IF(AND(R3&gt;=8,R3&lt;=22),15,IF(AND(R3&gt;=23,R3&lt;=37),30,IF(AND(R3&gt;=38,R3&lt;=52),45,60))))</f>
        <v>#REF!</v>
      </c>
      <c r="T3" s="544" t="e">
        <f aca="true" t="shared" si="13" ref="T3:T8">Q3&amp;":"&amp;S3</f>
        <v>#REF!</v>
      </c>
      <c r="U3" s="544" t="e">
        <f aca="true" t="shared" si="14" ref="U3:U8">TIME(Q3,S3,0)*24/24</f>
        <v>#REF!</v>
      </c>
    </row>
    <row r="4" spans="1:21" s="538" customFormat="1" ht="12.75">
      <c r="A4" s="538" t="e">
        <f>#REF!</f>
        <v>#REF!</v>
      </c>
      <c r="B4" s="539" t="e">
        <f>(((#REF!-#REF!)-(#REF!-#REF!))*24/24)</f>
        <v>#REF!</v>
      </c>
      <c r="C4" s="540" t="e">
        <f t="shared" si="0"/>
        <v>#REF!</v>
      </c>
      <c r="D4" s="540" t="e">
        <f t="shared" si="4"/>
        <v>#REF!</v>
      </c>
      <c r="E4" s="540" t="e">
        <f t="shared" si="5"/>
        <v>#REF!</v>
      </c>
      <c r="F4" s="540" t="e">
        <f t="shared" si="6"/>
        <v>#REF!</v>
      </c>
      <c r="G4" s="541" t="e">
        <f t="shared" si="7"/>
        <v>#REF!</v>
      </c>
      <c r="H4" s="541" t="e">
        <f>#REF!-#REF!</f>
        <v>#REF!</v>
      </c>
      <c r="I4" s="542" t="e">
        <f>IF(#REF!&gt;=TIME(19,1,0),#REF!*24-18,0)/24</f>
        <v>#REF!</v>
      </c>
      <c r="J4" s="543" t="e">
        <f t="shared" si="8"/>
        <v>#REF!</v>
      </c>
      <c r="K4" s="543"/>
      <c r="L4" s="543" t="e">
        <f t="shared" si="1"/>
        <v>#REF!</v>
      </c>
      <c r="M4" s="543" t="e">
        <f t="shared" si="9"/>
        <v>#REF!</v>
      </c>
      <c r="N4" s="542" t="e">
        <f t="shared" si="2"/>
        <v>#REF!</v>
      </c>
      <c r="O4" s="542" t="e">
        <f t="shared" si="3"/>
        <v>#REF!</v>
      </c>
      <c r="P4" s="544" t="e">
        <f>IF(((#REF!-#REF!)-(#REF!-#REF!))*24&gt;8,((#REF!-#REF!)-(#REF!-#REF!))*24-8,0)/24</f>
        <v>#REF!</v>
      </c>
      <c r="Q4" s="545" t="e">
        <f t="shared" si="10"/>
        <v>#REF!</v>
      </c>
      <c r="R4" s="545" t="e">
        <f t="shared" si="11"/>
        <v>#REF!</v>
      </c>
      <c r="S4" s="545" t="e">
        <f t="shared" si="12"/>
        <v>#REF!</v>
      </c>
      <c r="T4" s="544" t="e">
        <f t="shared" si="13"/>
        <v>#REF!</v>
      </c>
      <c r="U4" s="544" t="e">
        <f t="shared" si="14"/>
        <v>#REF!</v>
      </c>
    </row>
    <row r="5" spans="1:21" s="547" customFormat="1" ht="12.75">
      <c r="A5" s="538" t="e">
        <f>#REF!</f>
        <v>#REF!</v>
      </c>
      <c r="B5" s="539" t="e">
        <f>(((#REF!-#REF!)-(#REF!-#REF!))*24/24)</f>
        <v>#REF!</v>
      </c>
      <c r="C5" s="546" t="e">
        <f t="shared" si="0"/>
        <v>#REF!</v>
      </c>
      <c r="D5" s="546" t="e">
        <f t="shared" si="4"/>
        <v>#REF!</v>
      </c>
      <c r="E5" s="540" t="e">
        <f t="shared" si="5"/>
        <v>#REF!</v>
      </c>
      <c r="F5" s="546" t="e">
        <f t="shared" si="6"/>
        <v>#REF!</v>
      </c>
      <c r="G5" s="541" t="e">
        <f t="shared" si="7"/>
        <v>#REF!</v>
      </c>
      <c r="H5" s="541" t="e">
        <f>#REF!-#REF!</f>
        <v>#REF!</v>
      </c>
      <c r="I5" s="542" t="e">
        <f>IF(#REF!&gt;=TIME(19,1,0),#REF!*24-18,0)/24</f>
        <v>#REF!</v>
      </c>
      <c r="J5" s="543" t="e">
        <f t="shared" si="8"/>
        <v>#REF!</v>
      </c>
      <c r="K5" s="543"/>
      <c r="L5" s="543" t="e">
        <f t="shared" si="1"/>
        <v>#REF!</v>
      </c>
      <c r="M5" s="543" t="e">
        <f t="shared" si="9"/>
        <v>#REF!</v>
      </c>
      <c r="N5" s="542" t="e">
        <f t="shared" si="2"/>
        <v>#REF!</v>
      </c>
      <c r="O5" s="542" t="e">
        <f t="shared" si="3"/>
        <v>#REF!</v>
      </c>
      <c r="P5" s="544" t="e">
        <f>IF(((#REF!-#REF!)-(#REF!-#REF!))*24&gt;8,((#REF!-#REF!)-(#REF!-#REF!))*24-8,0)/24</f>
        <v>#REF!</v>
      </c>
      <c r="Q5" s="545" t="e">
        <f t="shared" si="10"/>
        <v>#REF!</v>
      </c>
      <c r="R5" s="545" t="e">
        <f t="shared" si="11"/>
        <v>#REF!</v>
      </c>
      <c r="S5" s="545" t="e">
        <f t="shared" si="12"/>
        <v>#REF!</v>
      </c>
      <c r="T5" s="544" t="e">
        <f t="shared" si="13"/>
        <v>#REF!</v>
      </c>
      <c r="U5" s="544" t="e">
        <f t="shared" si="14"/>
        <v>#REF!</v>
      </c>
    </row>
    <row r="6" spans="1:21" s="538" customFormat="1" ht="12.75">
      <c r="A6" s="538" t="e">
        <f>#REF!</f>
        <v>#REF!</v>
      </c>
      <c r="B6" s="539" t="e">
        <f>(((#REF!-#REF!)-(#REF!-#REF!))*24/24)</f>
        <v>#REF!</v>
      </c>
      <c r="C6" s="540" t="e">
        <f t="shared" si="0"/>
        <v>#REF!</v>
      </c>
      <c r="D6" s="540" t="e">
        <f t="shared" si="4"/>
        <v>#REF!</v>
      </c>
      <c r="E6" s="540" t="e">
        <f t="shared" si="5"/>
        <v>#REF!</v>
      </c>
      <c r="F6" s="540" t="e">
        <f t="shared" si="6"/>
        <v>#REF!</v>
      </c>
      <c r="G6" s="541" t="e">
        <f t="shared" si="7"/>
        <v>#REF!</v>
      </c>
      <c r="H6" s="541" t="e">
        <f>#REF!-#REF!</f>
        <v>#REF!</v>
      </c>
      <c r="I6" s="542" t="e">
        <f>IF(#REF!&gt;=TIME(19,1,0),#REF!*24-18,0)/24</f>
        <v>#REF!</v>
      </c>
      <c r="J6" s="543" t="e">
        <f t="shared" si="8"/>
        <v>#REF!</v>
      </c>
      <c r="K6" s="543"/>
      <c r="L6" s="543" t="e">
        <f t="shared" si="1"/>
        <v>#REF!</v>
      </c>
      <c r="M6" s="543" t="e">
        <f t="shared" si="9"/>
        <v>#REF!</v>
      </c>
      <c r="N6" s="542" t="e">
        <f t="shared" si="2"/>
        <v>#REF!</v>
      </c>
      <c r="O6" s="542" t="e">
        <f t="shared" si="3"/>
        <v>#REF!</v>
      </c>
      <c r="P6" s="544" t="e">
        <f>IF(((#REF!-#REF!)-(#REF!-#REF!))*24&gt;8,((#REF!-#REF!)-(#REF!-#REF!))*24-8,0)/24</f>
        <v>#REF!</v>
      </c>
      <c r="Q6" s="545" t="e">
        <f t="shared" si="10"/>
        <v>#REF!</v>
      </c>
      <c r="R6" s="545" t="e">
        <f t="shared" si="11"/>
        <v>#REF!</v>
      </c>
      <c r="S6" s="545" t="e">
        <f t="shared" si="12"/>
        <v>#REF!</v>
      </c>
      <c r="T6" s="544" t="e">
        <f t="shared" si="13"/>
        <v>#REF!</v>
      </c>
      <c r="U6" s="544" t="e">
        <f t="shared" si="14"/>
        <v>#REF!</v>
      </c>
    </row>
    <row r="7" spans="1:21" s="538" customFormat="1" ht="12.75">
      <c r="A7" s="538" t="e">
        <f>#REF!</f>
        <v>#REF!</v>
      </c>
      <c r="B7" s="539" t="e">
        <f>(((#REF!-#REF!)-(#REF!-#REF!))*24/24)</f>
        <v>#REF!</v>
      </c>
      <c r="C7" s="540" t="e">
        <f t="shared" si="0"/>
        <v>#REF!</v>
      </c>
      <c r="D7" s="540" t="e">
        <f t="shared" si="4"/>
        <v>#REF!</v>
      </c>
      <c r="E7" s="540" t="e">
        <f t="shared" si="5"/>
        <v>#REF!</v>
      </c>
      <c r="F7" s="540" t="e">
        <f t="shared" si="6"/>
        <v>#REF!</v>
      </c>
      <c r="G7" s="541" t="e">
        <f t="shared" si="7"/>
        <v>#REF!</v>
      </c>
      <c r="H7" s="541" t="e">
        <f>#REF!-#REF!</f>
        <v>#REF!</v>
      </c>
      <c r="I7" s="542" t="e">
        <f>IF(#REF!&gt;=TIME(19,1,0),#REF!*24-18,0)/24</f>
        <v>#REF!</v>
      </c>
      <c r="J7" s="543" t="e">
        <f t="shared" si="8"/>
        <v>#REF!</v>
      </c>
      <c r="K7" s="543"/>
      <c r="L7" s="543" t="e">
        <f t="shared" si="1"/>
        <v>#REF!</v>
      </c>
      <c r="M7" s="543" t="e">
        <f t="shared" si="9"/>
        <v>#REF!</v>
      </c>
      <c r="N7" s="542" t="e">
        <f t="shared" si="2"/>
        <v>#REF!</v>
      </c>
      <c r="O7" s="542" t="e">
        <f t="shared" si="3"/>
        <v>#REF!</v>
      </c>
      <c r="P7" s="544" t="e">
        <f>IF(((#REF!-#REF!)-(#REF!-#REF!))*24&gt;8,((#REF!-#REF!)-(#REF!-#REF!))*24-8,0)/24</f>
        <v>#REF!</v>
      </c>
      <c r="Q7" s="545" t="e">
        <f t="shared" si="10"/>
        <v>#REF!</v>
      </c>
      <c r="R7" s="545" t="e">
        <f t="shared" si="11"/>
        <v>#REF!</v>
      </c>
      <c r="S7" s="545" t="e">
        <f t="shared" si="12"/>
        <v>#REF!</v>
      </c>
      <c r="T7" s="544" t="e">
        <f t="shared" si="13"/>
        <v>#REF!</v>
      </c>
      <c r="U7" s="544" t="e">
        <f t="shared" si="14"/>
        <v>#REF!</v>
      </c>
    </row>
    <row r="8" spans="1:21" s="538" customFormat="1" ht="12.75">
      <c r="A8" s="538" t="e">
        <f>#REF!</f>
        <v>#REF!</v>
      </c>
      <c r="B8" s="539" t="e">
        <f>(((#REF!-#REF!)-(#REF!-#REF!))*24/24)</f>
        <v>#REF!</v>
      </c>
      <c r="C8" s="540" t="e">
        <f t="shared" si="0"/>
        <v>#REF!</v>
      </c>
      <c r="D8" s="540" t="e">
        <f t="shared" si="4"/>
        <v>#REF!</v>
      </c>
      <c r="E8" s="540" t="e">
        <f t="shared" si="5"/>
        <v>#REF!</v>
      </c>
      <c r="F8" s="540" t="e">
        <f t="shared" si="6"/>
        <v>#REF!</v>
      </c>
      <c r="G8" s="541" t="e">
        <f t="shared" si="7"/>
        <v>#REF!</v>
      </c>
      <c r="H8" s="541" t="e">
        <f>#REF!-#REF!</f>
        <v>#REF!</v>
      </c>
      <c r="I8" s="542" t="e">
        <f>IF(#REF!&gt;=TIME(19,1,0),#REF!*24-18,0)/24</f>
        <v>#REF!</v>
      </c>
      <c r="J8" s="543" t="e">
        <f t="shared" si="8"/>
        <v>#REF!</v>
      </c>
      <c r="K8" s="543"/>
      <c r="L8" s="543" t="e">
        <f t="shared" si="1"/>
        <v>#REF!</v>
      </c>
      <c r="M8" s="543" t="e">
        <f t="shared" si="9"/>
        <v>#REF!</v>
      </c>
      <c r="N8" s="542" t="e">
        <f t="shared" si="2"/>
        <v>#REF!</v>
      </c>
      <c r="O8" s="542" t="e">
        <f t="shared" si="3"/>
        <v>#REF!</v>
      </c>
      <c r="P8" s="544" t="e">
        <f>IF(((#REF!-#REF!)-(#REF!-#REF!))*24&gt;8,((#REF!-#REF!)-(#REF!-#REF!))*24-8,0)/24</f>
        <v>#REF!</v>
      </c>
      <c r="Q8" s="545" t="e">
        <f t="shared" si="10"/>
        <v>#REF!</v>
      </c>
      <c r="R8" s="545" t="e">
        <f t="shared" si="11"/>
        <v>#REF!</v>
      </c>
      <c r="S8" s="545" t="e">
        <f t="shared" si="12"/>
        <v>#REF!</v>
      </c>
      <c r="T8" s="544" t="e">
        <f t="shared" si="13"/>
        <v>#REF!</v>
      </c>
      <c r="U8" s="544" t="e">
        <f t="shared" si="14"/>
        <v>#REF!</v>
      </c>
    </row>
    <row r="9" spans="2:14" s="548" customFormat="1" ht="12.75">
      <c r="B9" s="785" t="s">
        <v>225</v>
      </c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785"/>
    </row>
    <row r="10" spans="2:14" s="548" customFormat="1" ht="12.75">
      <c r="B10" s="785"/>
      <c r="C10" s="785"/>
      <c r="D10" s="785"/>
      <c r="E10" s="785"/>
      <c r="F10" s="785"/>
      <c r="G10" s="785"/>
      <c r="H10" s="785"/>
      <c r="I10" s="785"/>
      <c r="J10" s="785"/>
      <c r="K10" s="785"/>
      <c r="L10" s="785"/>
      <c r="M10" s="785"/>
      <c r="N10" s="785"/>
    </row>
    <row r="11" spans="2:5" s="538" customFormat="1" ht="12.75">
      <c r="B11" s="539"/>
      <c r="C11" s="540"/>
      <c r="D11" s="540"/>
      <c r="E11" s="540"/>
    </row>
    <row r="12" spans="1:21" s="531" customFormat="1" ht="25.5">
      <c r="A12" s="531" t="s">
        <v>0</v>
      </c>
      <c r="B12" s="532" t="s">
        <v>227</v>
      </c>
      <c r="C12" s="532" t="s">
        <v>236</v>
      </c>
      <c r="D12" s="532" t="s">
        <v>224</v>
      </c>
      <c r="E12" s="532" t="s">
        <v>229</v>
      </c>
      <c r="F12" s="532" t="s">
        <v>230</v>
      </c>
      <c r="G12" s="533" t="s">
        <v>231</v>
      </c>
      <c r="H12" s="533" t="s">
        <v>251</v>
      </c>
      <c r="I12" s="534" t="s">
        <v>234</v>
      </c>
      <c r="J12" s="534" t="s">
        <v>233</v>
      </c>
      <c r="K12" s="534"/>
      <c r="L12" s="534" t="s">
        <v>235</v>
      </c>
      <c r="M12" s="535" t="s">
        <v>232</v>
      </c>
      <c r="N12" s="534" t="s">
        <v>238</v>
      </c>
      <c r="O12" s="534" t="s">
        <v>237</v>
      </c>
      <c r="P12" s="536" t="s">
        <v>239</v>
      </c>
      <c r="Q12" s="536" t="s">
        <v>240</v>
      </c>
      <c r="R12" s="536" t="s">
        <v>235</v>
      </c>
      <c r="S12" s="537" t="s">
        <v>232</v>
      </c>
      <c r="T12" s="536" t="s">
        <v>243</v>
      </c>
      <c r="U12" s="536" t="s">
        <v>244</v>
      </c>
    </row>
    <row r="13" spans="1:21" s="538" customFormat="1" ht="12.75">
      <c r="A13" s="549" t="e">
        <f>#REF!</f>
        <v>#REF!</v>
      </c>
      <c r="B13" s="539" t="e">
        <f>(((#REF!-#REF!)-(#REF!-#REF!))*24/24)</f>
        <v>#REF!</v>
      </c>
      <c r="C13" s="540" t="e">
        <f aca="true" t="shared" si="15" ref="C13:C19">HOUR(B13)</f>
        <v>#REF!</v>
      </c>
      <c r="D13" s="540" t="e">
        <f>MINUTE(B13)</f>
        <v>#REF!</v>
      </c>
      <c r="E13" s="540" t="e">
        <f aca="true" t="shared" si="16" ref="E13:E19">IF(D13&lt;=7,0,IF(AND(D13&gt;=8,D13&lt;=22),15,IF(AND(D13&gt;=23,D13&lt;=37),30,IF(AND(D13&gt;=38,D13&lt;=52),45,60))))</f>
        <v>#REF!</v>
      </c>
      <c r="F13" s="540" t="e">
        <f>C13&amp;":"&amp;E13</f>
        <v>#REF!</v>
      </c>
      <c r="G13" s="541" t="e">
        <f>TIME(C13,E13,0)*24/24</f>
        <v>#REF!</v>
      </c>
      <c r="H13" s="541" t="e">
        <f>#REF!-#REF!</f>
        <v>#REF!</v>
      </c>
      <c r="I13" s="542" t="e">
        <f>IF(#REF!&gt;=TIME(19,1,0),#REF!*24-18,0)/24</f>
        <v>#REF!</v>
      </c>
      <c r="J13" s="543" t="e">
        <f>HOUR(I13)</f>
        <v>#REF!</v>
      </c>
      <c r="K13" s="543"/>
      <c r="L13" s="543" t="e">
        <f aca="true" t="shared" si="17" ref="L13:L19">MINUTE(I13)</f>
        <v>#REF!</v>
      </c>
      <c r="M13" s="543" t="e">
        <f aca="true" t="shared" si="18" ref="M13:M19">IF(L13&lt;=7,0,IF(AND(L13&gt;=8,L13&lt;=22),15,IF(AND(L13&gt;=23,L13&lt;=37),30,IF(AND(L13&gt;=38,L13&lt;=52),45,60))))</f>
        <v>#REF!</v>
      </c>
      <c r="N13" s="542" t="e">
        <f aca="true" t="shared" si="19" ref="N13:N19">TIME(J13,E13,0)</f>
        <v>#REF!</v>
      </c>
      <c r="O13" s="542" t="e">
        <f aca="true" t="shared" si="20" ref="O13:O19">TIME(J13,M13,0)*24/24</f>
        <v>#REF!</v>
      </c>
      <c r="P13" s="544" t="e">
        <f>IF(((#REF!-#REF!)-(#REF!-#REF!))*24&gt;8,((#REF!-#REF!)-(#REF!-#REF!))*24-8,0)/24</f>
        <v>#REF!</v>
      </c>
      <c r="Q13" s="545" t="e">
        <f>HOUR(P13)</f>
        <v>#REF!</v>
      </c>
      <c r="R13" s="545" t="e">
        <f>MINUTE(P13)</f>
        <v>#REF!</v>
      </c>
      <c r="S13" s="545" t="e">
        <f aca="true" t="shared" si="21" ref="S13:S19">IF(R13&lt;=7,0,IF(AND(R13&gt;=8,R13&lt;=22),15,IF(AND(R13&gt;=23,R13&lt;=37),30,IF(AND(R13&gt;=38,R13&lt;=52),45,60))))</f>
        <v>#REF!</v>
      </c>
      <c r="T13" s="544" t="e">
        <f>TIME(Q13,M13,0)</f>
        <v>#REF!</v>
      </c>
      <c r="U13" s="544" t="e">
        <f>TIME(Q13,S13,0)*24/24</f>
        <v>#REF!</v>
      </c>
    </row>
    <row r="14" spans="1:21" s="538" customFormat="1" ht="12.75">
      <c r="A14" s="549" t="e">
        <f>#REF!</f>
        <v>#REF!</v>
      </c>
      <c r="B14" s="539" t="e">
        <f>(((#REF!-#REF!)-(#REF!-#REF!))*24/24)</f>
        <v>#REF!</v>
      </c>
      <c r="C14" s="540" t="e">
        <f t="shared" si="15"/>
        <v>#REF!</v>
      </c>
      <c r="D14" s="540" t="e">
        <f aca="true" t="shared" si="22" ref="D14:D19">MINUTE(B14)</f>
        <v>#REF!</v>
      </c>
      <c r="E14" s="540" t="e">
        <f t="shared" si="16"/>
        <v>#REF!</v>
      </c>
      <c r="F14" s="540" t="e">
        <f aca="true" t="shared" si="23" ref="F14:F19">C14&amp;":"&amp;E14</f>
        <v>#REF!</v>
      </c>
      <c r="G14" s="541" t="e">
        <f aca="true" t="shared" si="24" ref="G14:G19">TIME(C14,E14,0)*24/24</f>
        <v>#REF!</v>
      </c>
      <c r="H14" s="541" t="e">
        <f>#REF!-#REF!</f>
        <v>#REF!</v>
      </c>
      <c r="I14" s="542" t="e">
        <f>IF(#REF!&gt;=TIME(19,1,0),#REF!*24-18,0)/24</f>
        <v>#REF!</v>
      </c>
      <c r="J14" s="543" t="e">
        <f aca="true" t="shared" si="25" ref="J14:J19">HOUR(I14)</f>
        <v>#REF!</v>
      </c>
      <c r="K14" s="543"/>
      <c r="L14" s="543" t="e">
        <f t="shared" si="17"/>
        <v>#REF!</v>
      </c>
      <c r="M14" s="543" t="e">
        <f t="shared" si="18"/>
        <v>#REF!</v>
      </c>
      <c r="N14" s="542" t="e">
        <f t="shared" si="19"/>
        <v>#REF!</v>
      </c>
      <c r="O14" s="542" t="e">
        <f t="shared" si="20"/>
        <v>#REF!</v>
      </c>
      <c r="P14" s="544" t="e">
        <f>IF(((#REF!-#REF!)-(#REF!-#REF!))*24&gt;8,((#REF!-#REF!)-(#REF!-#REF!))*24-8,0)/24</f>
        <v>#REF!</v>
      </c>
      <c r="Q14" s="545" t="e">
        <f aca="true" t="shared" si="26" ref="Q14:Q19">HOUR(P14)</f>
        <v>#REF!</v>
      </c>
      <c r="R14" s="545" t="e">
        <f aca="true" t="shared" si="27" ref="R14:R19">MINUTE(P14)</f>
        <v>#REF!</v>
      </c>
      <c r="S14" s="545" t="e">
        <f t="shared" si="21"/>
        <v>#REF!</v>
      </c>
      <c r="T14" s="544" t="e">
        <f aca="true" t="shared" si="28" ref="T14:T19">TIME(Q14,M14,0)</f>
        <v>#REF!</v>
      </c>
      <c r="U14" s="544" t="e">
        <f aca="true" t="shared" si="29" ref="U14:U19">TIME(Q14,S14,0)*24/24</f>
        <v>#REF!</v>
      </c>
    </row>
    <row r="15" spans="1:21" s="538" customFormat="1" ht="12.75">
      <c r="A15" s="549" t="e">
        <f>#REF!</f>
        <v>#REF!</v>
      </c>
      <c r="B15" s="539" t="e">
        <f>(((#REF!-#REF!)-(#REF!-#REF!))*24/24)</f>
        <v>#REF!</v>
      </c>
      <c r="C15" s="540" t="e">
        <f t="shared" si="15"/>
        <v>#REF!</v>
      </c>
      <c r="D15" s="540" t="e">
        <f t="shared" si="22"/>
        <v>#REF!</v>
      </c>
      <c r="E15" s="540" t="e">
        <f t="shared" si="16"/>
        <v>#REF!</v>
      </c>
      <c r="F15" s="540" t="e">
        <f t="shared" si="23"/>
        <v>#REF!</v>
      </c>
      <c r="G15" s="541" t="e">
        <f t="shared" si="24"/>
        <v>#REF!</v>
      </c>
      <c r="H15" s="541" t="e">
        <f>#REF!-#REF!</f>
        <v>#REF!</v>
      </c>
      <c r="I15" s="542" t="e">
        <f>IF(#REF!&gt;=TIME(19,1,0),#REF!*24-18,0)/24</f>
        <v>#REF!</v>
      </c>
      <c r="J15" s="543" t="e">
        <f t="shared" si="25"/>
        <v>#REF!</v>
      </c>
      <c r="K15" s="543"/>
      <c r="L15" s="543" t="e">
        <f t="shared" si="17"/>
        <v>#REF!</v>
      </c>
      <c r="M15" s="543" t="e">
        <f t="shared" si="18"/>
        <v>#REF!</v>
      </c>
      <c r="N15" s="542" t="e">
        <f t="shared" si="19"/>
        <v>#REF!</v>
      </c>
      <c r="O15" s="542" t="e">
        <f t="shared" si="20"/>
        <v>#REF!</v>
      </c>
      <c r="P15" s="544" t="e">
        <f>IF(((#REF!-#REF!)-(#REF!-#REF!))*24&gt;8,((#REF!-#REF!)-(#REF!-#REF!))*24-8,0)/24</f>
        <v>#REF!</v>
      </c>
      <c r="Q15" s="545" t="e">
        <f t="shared" si="26"/>
        <v>#REF!</v>
      </c>
      <c r="R15" s="545" t="e">
        <f t="shared" si="27"/>
        <v>#REF!</v>
      </c>
      <c r="S15" s="545" t="e">
        <f t="shared" si="21"/>
        <v>#REF!</v>
      </c>
      <c r="T15" s="544" t="e">
        <f t="shared" si="28"/>
        <v>#REF!</v>
      </c>
      <c r="U15" s="544" t="e">
        <f t="shared" si="29"/>
        <v>#REF!</v>
      </c>
    </row>
    <row r="16" spans="1:21" s="547" customFormat="1" ht="12.75">
      <c r="A16" s="549" t="e">
        <f>#REF!</f>
        <v>#REF!</v>
      </c>
      <c r="B16" s="539" t="e">
        <f>(((#REF!-#REF!)-(#REF!-#REF!))*24/24)</f>
        <v>#REF!</v>
      </c>
      <c r="C16" s="546" t="e">
        <f t="shared" si="15"/>
        <v>#REF!</v>
      </c>
      <c r="D16" s="546" t="e">
        <f t="shared" si="22"/>
        <v>#REF!</v>
      </c>
      <c r="E16" s="540" t="e">
        <f t="shared" si="16"/>
        <v>#REF!</v>
      </c>
      <c r="F16" s="546" t="e">
        <f t="shared" si="23"/>
        <v>#REF!</v>
      </c>
      <c r="G16" s="541" t="e">
        <f t="shared" si="24"/>
        <v>#REF!</v>
      </c>
      <c r="H16" s="541" t="e">
        <f>#REF!-#REF!</f>
        <v>#REF!</v>
      </c>
      <c r="I16" s="542" t="e">
        <f>IF(#REF!&gt;=TIME(19,1,0),#REF!*24-18,0)/24</f>
        <v>#REF!</v>
      </c>
      <c r="J16" s="543" t="e">
        <f t="shared" si="25"/>
        <v>#REF!</v>
      </c>
      <c r="K16" s="543"/>
      <c r="L16" s="543" t="e">
        <f t="shared" si="17"/>
        <v>#REF!</v>
      </c>
      <c r="M16" s="543" t="e">
        <f t="shared" si="18"/>
        <v>#REF!</v>
      </c>
      <c r="N16" s="542" t="e">
        <f t="shared" si="19"/>
        <v>#REF!</v>
      </c>
      <c r="O16" s="542" t="e">
        <f t="shared" si="20"/>
        <v>#REF!</v>
      </c>
      <c r="P16" s="544" t="e">
        <f>IF(((#REF!-#REF!)-(#REF!-#REF!))*24&gt;8,((#REF!-#REF!)-(#REF!-#REF!))*24-8,0)/24</f>
        <v>#REF!</v>
      </c>
      <c r="Q16" s="545" t="e">
        <f t="shared" si="26"/>
        <v>#REF!</v>
      </c>
      <c r="R16" s="545" t="e">
        <f t="shared" si="27"/>
        <v>#REF!</v>
      </c>
      <c r="S16" s="545" t="e">
        <f t="shared" si="21"/>
        <v>#REF!</v>
      </c>
      <c r="T16" s="544" t="e">
        <f t="shared" si="28"/>
        <v>#REF!</v>
      </c>
      <c r="U16" s="544" t="e">
        <f t="shared" si="29"/>
        <v>#REF!</v>
      </c>
    </row>
    <row r="17" spans="1:21" s="538" customFormat="1" ht="12.75">
      <c r="A17" s="549" t="e">
        <f>#REF!</f>
        <v>#REF!</v>
      </c>
      <c r="B17" s="539" t="e">
        <f>(((#REF!-#REF!)-(#REF!-#REF!))*24/24)</f>
        <v>#REF!</v>
      </c>
      <c r="C17" s="540" t="e">
        <f t="shared" si="15"/>
        <v>#REF!</v>
      </c>
      <c r="D17" s="540" t="e">
        <f t="shared" si="22"/>
        <v>#REF!</v>
      </c>
      <c r="E17" s="540" t="e">
        <f t="shared" si="16"/>
        <v>#REF!</v>
      </c>
      <c r="F17" s="540" t="e">
        <f t="shared" si="23"/>
        <v>#REF!</v>
      </c>
      <c r="G17" s="541" t="e">
        <f t="shared" si="24"/>
        <v>#REF!</v>
      </c>
      <c r="H17" s="541" t="e">
        <f>#REF!-#REF!</f>
        <v>#REF!</v>
      </c>
      <c r="I17" s="542" t="e">
        <f>IF(#REF!&gt;=TIME(19,1,0),#REF!*24-18,0)/24</f>
        <v>#REF!</v>
      </c>
      <c r="J17" s="543" t="e">
        <f t="shared" si="25"/>
        <v>#REF!</v>
      </c>
      <c r="K17" s="543"/>
      <c r="L17" s="543" t="e">
        <f t="shared" si="17"/>
        <v>#REF!</v>
      </c>
      <c r="M17" s="543" t="e">
        <f t="shared" si="18"/>
        <v>#REF!</v>
      </c>
      <c r="N17" s="542" t="e">
        <f t="shared" si="19"/>
        <v>#REF!</v>
      </c>
      <c r="O17" s="542" t="e">
        <f t="shared" si="20"/>
        <v>#REF!</v>
      </c>
      <c r="P17" s="544" t="e">
        <f>IF(((#REF!-#REF!)-(#REF!-#REF!))*24&gt;8,((#REF!-#REF!)-(#REF!-#REF!))*24-8,0)/24</f>
        <v>#REF!</v>
      </c>
      <c r="Q17" s="545" t="e">
        <f t="shared" si="26"/>
        <v>#REF!</v>
      </c>
      <c r="R17" s="545" t="e">
        <f t="shared" si="27"/>
        <v>#REF!</v>
      </c>
      <c r="S17" s="545" t="e">
        <f t="shared" si="21"/>
        <v>#REF!</v>
      </c>
      <c r="T17" s="544" t="e">
        <f t="shared" si="28"/>
        <v>#REF!</v>
      </c>
      <c r="U17" s="544" t="e">
        <f t="shared" si="29"/>
        <v>#REF!</v>
      </c>
    </row>
    <row r="18" spans="1:21" s="538" customFormat="1" ht="12.75">
      <c r="A18" s="549" t="e">
        <f>#REF!</f>
        <v>#REF!</v>
      </c>
      <c r="B18" s="539" t="e">
        <f>(((#REF!-#REF!)-(#REF!-#REF!))*24/24)</f>
        <v>#REF!</v>
      </c>
      <c r="C18" s="540" t="e">
        <f t="shared" si="15"/>
        <v>#REF!</v>
      </c>
      <c r="D18" s="540" t="e">
        <f t="shared" si="22"/>
        <v>#REF!</v>
      </c>
      <c r="E18" s="540" t="e">
        <f t="shared" si="16"/>
        <v>#REF!</v>
      </c>
      <c r="F18" s="540" t="e">
        <f t="shared" si="23"/>
        <v>#REF!</v>
      </c>
      <c r="G18" s="541" t="e">
        <f t="shared" si="24"/>
        <v>#REF!</v>
      </c>
      <c r="H18" s="541" t="e">
        <f>#REF!-#REF!</f>
        <v>#REF!</v>
      </c>
      <c r="I18" s="542" t="e">
        <f>IF(#REF!&gt;=TIME(19,1,0),#REF!*24-18,0)/24</f>
        <v>#REF!</v>
      </c>
      <c r="J18" s="543" t="e">
        <f t="shared" si="25"/>
        <v>#REF!</v>
      </c>
      <c r="K18" s="543"/>
      <c r="L18" s="543" t="e">
        <f t="shared" si="17"/>
        <v>#REF!</v>
      </c>
      <c r="M18" s="543" t="e">
        <f t="shared" si="18"/>
        <v>#REF!</v>
      </c>
      <c r="N18" s="542" t="e">
        <f t="shared" si="19"/>
        <v>#REF!</v>
      </c>
      <c r="O18" s="542" t="e">
        <f t="shared" si="20"/>
        <v>#REF!</v>
      </c>
      <c r="P18" s="544" t="e">
        <f>IF(((#REF!-#REF!)-(#REF!-#REF!))*24&gt;8,((#REF!-#REF!)-(#REF!-#REF!))*24-8,0)/24</f>
        <v>#REF!</v>
      </c>
      <c r="Q18" s="545" t="e">
        <f t="shared" si="26"/>
        <v>#REF!</v>
      </c>
      <c r="R18" s="545" t="e">
        <f t="shared" si="27"/>
        <v>#REF!</v>
      </c>
      <c r="S18" s="545" t="e">
        <f t="shared" si="21"/>
        <v>#REF!</v>
      </c>
      <c r="T18" s="544" t="e">
        <f t="shared" si="28"/>
        <v>#REF!</v>
      </c>
      <c r="U18" s="544" t="e">
        <f t="shared" si="29"/>
        <v>#REF!</v>
      </c>
    </row>
    <row r="19" spans="1:21" s="538" customFormat="1" ht="12.75">
      <c r="A19" s="549" t="e">
        <f>#REF!</f>
        <v>#REF!</v>
      </c>
      <c r="B19" s="539" t="e">
        <f>(((#REF!-#REF!)-(#REF!-#REF!))*24/24)</f>
        <v>#REF!</v>
      </c>
      <c r="C19" s="540" t="e">
        <f t="shared" si="15"/>
        <v>#REF!</v>
      </c>
      <c r="D19" s="540" t="e">
        <f t="shared" si="22"/>
        <v>#REF!</v>
      </c>
      <c r="E19" s="540" t="e">
        <f t="shared" si="16"/>
        <v>#REF!</v>
      </c>
      <c r="F19" s="540" t="e">
        <f t="shared" si="23"/>
        <v>#REF!</v>
      </c>
      <c r="G19" s="541" t="e">
        <f t="shared" si="24"/>
        <v>#REF!</v>
      </c>
      <c r="H19" s="541" t="e">
        <f>#REF!-#REF!</f>
        <v>#REF!</v>
      </c>
      <c r="I19" s="542" t="e">
        <f>IF(#REF!&gt;=TIME(19,1,0),#REF!*24-18,0)/24</f>
        <v>#REF!</v>
      </c>
      <c r="J19" s="543" t="e">
        <f t="shared" si="25"/>
        <v>#REF!</v>
      </c>
      <c r="K19" s="543"/>
      <c r="L19" s="543" t="e">
        <f t="shared" si="17"/>
        <v>#REF!</v>
      </c>
      <c r="M19" s="543" t="e">
        <f t="shared" si="18"/>
        <v>#REF!</v>
      </c>
      <c r="N19" s="542" t="e">
        <f t="shared" si="19"/>
        <v>#REF!</v>
      </c>
      <c r="O19" s="542" t="e">
        <f t="shared" si="20"/>
        <v>#REF!</v>
      </c>
      <c r="P19" s="544" t="e">
        <f>IF(((#REF!-#REF!)-(#REF!-#REF!))*24&gt;8,((#REF!-#REF!)-(#REF!-#REF!))*24-8,0)/24</f>
        <v>#REF!</v>
      </c>
      <c r="Q19" s="545" t="e">
        <f t="shared" si="26"/>
        <v>#REF!</v>
      </c>
      <c r="R19" s="545" t="e">
        <f t="shared" si="27"/>
        <v>#REF!</v>
      </c>
      <c r="S19" s="545" t="e">
        <f t="shared" si="21"/>
        <v>#REF!</v>
      </c>
      <c r="T19" s="544" t="e">
        <f t="shared" si="28"/>
        <v>#REF!</v>
      </c>
      <c r="U19" s="544" t="e">
        <f t="shared" si="29"/>
        <v>#REF!</v>
      </c>
    </row>
    <row r="20" spans="2:14" s="548" customFormat="1" ht="12.75">
      <c r="B20" s="785" t="s">
        <v>226</v>
      </c>
      <c r="C20" s="785"/>
      <c r="D20" s="785"/>
      <c r="E20" s="785"/>
      <c r="F20" s="785"/>
      <c r="G20" s="785"/>
      <c r="H20" s="785"/>
      <c r="I20" s="785"/>
      <c r="J20" s="785"/>
      <c r="K20" s="785"/>
      <c r="L20" s="785"/>
      <c r="M20" s="785"/>
      <c r="N20" s="785"/>
    </row>
    <row r="21" spans="2:14" s="548" customFormat="1" ht="12.75">
      <c r="B21" s="785"/>
      <c r="C21" s="785"/>
      <c r="D21" s="785"/>
      <c r="E21" s="785"/>
      <c r="F21" s="785"/>
      <c r="G21" s="785"/>
      <c r="H21" s="785"/>
      <c r="I21" s="785"/>
      <c r="J21" s="785"/>
      <c r="K21" s="785"/>
      <c r="L21" s="785"/>
      <c r="M21" s="785"/>
      <c r="N21" s="785"/>
    </row>
    <row r="22" spans="2:5" s="538" customFormat="1" ht="12.75">
      <c r="B22" s="539"/>
      <c r="C22" s="540"/>
      <c r="D22" s="540"/>
      <c r="E22" s="540"/>
    </row>
    <row r="23" spans="2:5" s="538" customFormat="1" ht="12.75">
      <c r="B23" s="539"/>
      <c r="C23" s="540"/>
      <c r="D23" s="540"/>
      <c r="E23" s="540"/>
    </row>
    <row r="24" spans="2:14" s="548" customFormat="1" ht="12.75">
      <c r="B24" s="785" t="s">
        <v>279</v>
      </c>
      <c r="C24" s="785"/>
      <c r="D24" s="785"/>
      <c r="E24" s="785"/>
      <c r="F24" s="785"/>
      <c r="G24" s="785"/>
      <c r="H24" s="785"/>
      <c r="I24" s="785"/>
      <c r="J24" s="785"/>
      <c r="K24" s="785"/>
      <c r="L24" s="785"/>
      <c r="M24" s="785"/>
      <c r="N24" s="785"/>
    </row>
    <row r="25" spans="2:14" s="548" customFormat="1" ht="12.75">
      <c r="B25" s="785"/>
      <c r="C25" s="785"/>
      <c r="D25" s="785"/>
      <c r="E25" s="785"/>
      <c r="F25" s="785"/>
      <c r="G25" s="785"/>
      <c r="H25" s="785"/>
      <c r="I25" s="785"/>
      <c r="J25" s="785"/>
      <c r="K25" s="785"/>
      <c r="L25" s="785"/>
      <c r="M25" s="785"/>
      <c r="N25" s="785"/>
    </row>
    <row r="26" spans="1:21" s="531" customFormat="1" ht="25.5">
      <c r="A26" s="531" t="s">
        <v>0</v>
      </c>
      <c r="B26" s="532" t="s">
        <v>227</v>
      </c>
      <c r="C26" s="532" t="s">
        <v>236</v>
      </c>
      <c r="D26" s="532" t="s">
        <v>228</v>
      </c>
      <c r="E26" s="532" t="s">
        <v>229</v>
      </c>
      <c r="F26" s="532" t="s">
        <v>230</v>
      </c>
      <c r="G26" s="533" t="s">
        <v>231</v>
      </c>
      <c r="H26" s="533" t="s">
        <v>251</v>
      </c>
      <c r="I26" s="534" t="s">
        <v>234</v>
      </c>
      <c r="J26" s="534" t="s">
        <v>233</v>
      </c>
      <c r="K26" s="534"/>
      <c r="L26" s="534" t="s">
        <v>235</v>
      </c>
      <c r="M26" s="535" t="s">
        <v>232</v>
      </c>
      <c r="N26" s="534" t="s">
        <v>238</v>
      </c>
      <c r="O26" s="534" t="s">
        <v>237</v>
      </c>
      <c r="P26" s="536" t="s">
        <v>239</v>
      </c>
      <c r="Q26" s="536" t="s">
        <v>240</v>
      </c>
      <c r="R26" s="536" t="s">
        <v>241</v>
      </c>
      <c r="S26" s="537" t="s">
        <v>242</v>
      </c>
      <c r="T26" s="536" t="s">
        <v>243</v>
      </c>
      <c r="U26" s="536" t="s">
        <v>244</v>
      </c>
    </row>
    <row r="27" spans="1:21" s="538" customFormat="1" ht="12.75">
      <c r="A27" s="538" t="str">
        <f>'Hourly (Weekly)'!A19</f>
        <v>Sunday</v>
      </c>
      <c r="B27" s="550">
        <f>SUM(IF('Hourly (Weekly)'!D19&lt;'Hourly (Weekly)'!C19,'Hourly (Weekly)'!D19+1,'Hourly (Weekly)'!D19)-'Hourly (Weekly)'!C19,IF('Hourly (Weekly)'!F19&lt;'Hourly (Weekly)'!E19,'Hourly (Weekly)'!F19+1,'Hourly (Weekly)'!F19)-'Hourly (Weekly)'!E19)*24/24</f>
        <v>0</v>
      </c>
      <c r="C27" s="540">
        <f aca="true" t="shared" si="30" ref="C27:C33">HOUR(B27)</f>
        <v>0</v>
      </c>
      <c r="D27" s="540">
        <f>MINUTE(B27)</f>
        <v>0</v>
      </c>
      <c r="E27" s="540">
        <f>IF(D27&lt;=7,0,IF(AND(D27&gt;=8,D27&lt;=22),15,IF(AND(D27&gt;=23,D27&lt;=37),30,IF(AND(D27&gt;=38,D27&lt;=52),45,60))))</f>
        <v>0</v>
      </c>
      <c r="F27" s="540" t="str">
        <f>C27&amp;":"&amp;E27</f>
        <v>0:0</v>
      </c>
      <c r="G27" s="541">
        <f>TIME(C27,E27,0)*24/24</f>
        <v>0</v>
      </c>
      <c r="H27" s="541">
        <f>'Hourly (Weekly)'!E19-'Hourly (Weekly)'!D19</f>
        <v>0</v>
      </c>
      <c r="I27" s="542">
        <f>IF('Hourly (Weekly)'!F19&gt;=TIME(19,1,0),'Hourly (Weekly)'!F19*24-18,0)/24</f>
        <v>0</v>
      </c>
      <c r="J27" s="543">
        <f>HOUR(I27)</f>
        <v>0</v>
      </c>
      <c r="K27" s="543"/>
      <c r="L27" s="543">
        <f aca="true" t="shared" si="31" ref="L27:L33">MINUTE(I27)</f>
        <v>0</v>
      </c>
      <c r="M27" s="543">
        <f>IF(L27&lt;=7,0,IF(AND(L27&gt;=8,L27&lt;=22),15,IF(AND(L27&gt;=23,L27&lt;=37),30,IF(AND(L27&gt;=38,L27&lt;=52),45,60))))</f>
        <v>0</v>
      </c>
      <c r="N27" s="542" t="str">
        <f aca="true" t="shared" si="32" ref="N27:N33">J27&amp;":"&amp;M27</f>
        <v>0:0</v>
      </c>
      <c r="O27" s="542">
        <f aca="true" t="shared" si="33" ref="O27:O33">TIME(J27,M27,0)*24/24</f>
        <v>0</v>
      </c>
      <c r="P27" s="544">
        <f>IF((('Hourly (Weekly)'!F19-'Hourly (Weekly)'!C19)-('Hourly (Weekly)'!E19-'Hourly (Weekly)'!D19))*24&gt;8,(('Hourly (Weekly)'!F19-'Hourly (Weekly)'!C19)-('Hourly (Weekly)'!E19-'Hourly (Weekly)'!D19))*24-8,0)/24</f>
        <v>0</v>
      </c>
      <c r="Q27" s="545">
        <f>HOUR(P27)</f>
        <v>0</v>
      </c>
      <c r="R27" s="545">
        <f>MINUTE(P27)</f>
        <v>0</v>
      </c>
      <c r="S27" s="545">
        <f>IF(R27&lt;=7,0,IF(AND(R27&gt;=8,R27&lt;=22),15,IF(AND(R27&gt;=23,R27&lt;=37),30,IF(AND(R27&gt;=38,R27&lt;=52),45,60))))</f>
        <v>0</v>
      </c>
      <c r="T27" s="544" t="str">
        <f>Q27&amp;":"&amp;S27</f>
        <v>0:0</v>
      </c>
      <c r="U27" s="544">
        <f>TIME(Q27,S27,0)*24/24</f>
        <v>0</v>
      </c>
    </row>
    <row r="28" spans="1:21" s="538" customFormat="1" ht="12.75">
      <c r="A28" s="538" t="str">
        <f>'Hourly (Weekly)'!A20</f>
        <v>Monday</v>
      </c>
      <c r="B28" s="550">
        <f>SUM(IF('Hourly (Weekly)'!D20&lt;'Hourly (Weekly)'!C20,'Hourly (Weekly)'!D20+1,'Hourly (Weekly)'!D20)-'Hourly (Weekly)'!C20,IF('Hourly (Weekly)'!F20&lt;'Hourly (Weekly)'!E20,'Hourly (Weekly)'!F20+1,'Hourly (Weekly)'!F20)-'Hourly (Weekly)'!E20)*24/24</f>
        <v>0</v>
      </c>
      <c r="C28" s="540">
        <f t="shared" si="30"/>
        <v>0</v>
      </c>
      <c r="D28" s="540">
        <f aca="true" t="shared" si="34" ref="D28:D33">MINUTE(B28)</f>
        <v>0</v>
      </c>
      <c r="E28" s="540">
        <f aca="true" t="shared" si="35" ref="E28:E33">IF(D28&lt;=7,0,IF(AND(D28&gt;=8,D28&lt;=22),15,IF(AND(D28&gt;=23,D28&lt;=37),30,IF(AND(D28&gt;=38,D28&lt;=52),45,60))))</f>
        <v>0</v>
      </c>
      <c r="F28" s="540" t="str">
        <f aca="true" t="shared" si="36" ref="F28:F33">C28&amp;":"&amp;E28</f>
        <v>0:0</v>
      </c>
      <c r="G28" s="541">
        <f aca="true" t="shared" si="37" ref="G28:G33">TIME(C28,E28,0)*24/24</f>
        <v>0</v>
      </c>
      <c r="H28" s="541">
        <f>'Hourly (Weekly)'!E20-'Hourly (Weekly)'!D20</f>
        <v>0</v>
      </c>
      <c r="I28" s="542">
        <f>IF('Hourly (Weekly)'!F20&gt;=TIME(19,1,0),'Hourly (Weekly)'!F20*24-18,0)/24</f>
        <v>0</v>
      </c>
      <c r="J28" s="543">
        <f aca="true" t="shared" si="38" ref="J28:J33">HOUR(I28)</f>
        <v>0</v>
      </c>
      <c r="K28" s="543"/>
      <c r="L28" s="543">
        <f t="shared" si="31"/>
        <v>0</v>
      </c>
      <c r="M28" s="543">
        <f aca="true" t="shared" si="39" ref="M28:M33">IF(L28&lt;=7,0,IF(AND(L28&gt;=8,L28&lt;=22),15,IF(AND(L28&gt;=23,L28&lt;=37),30,IF(AND(L28&gt;=38,L28&lt;=52),45,60))))</f>
        <v>0</v>
      </c>
      <c r="N28" s="542" t="str">
        <f t="shared" si="32"/>
        <v>0:0</v>
      </c>
      <c r="O28" s="542">
        <f t="shared" si="33"/>
        <v>0</v>
      </c>
      <c r="P28" s="544">
        <f>IF((('Hourly (Weekly)'!F20-'Hourly (Weekly)'!C20)-('Hourly (Weekly)'!E20-'Hourly (Weekly)'!D20))*24&gt;8,(('Hourly (Weekly)'!F20-'Hourly (Weekly)'!C20)-('Hourly (Weekly)'!E20-'Hourly (Weekly)'!D20))*24-8,0)/24</f>
        <v>0</v>
      </c>
      <c r="Q28" s="545">
        <f aca="true" t="shared" si="40" ref="Q28:Q33">HOUR(P28)</f>
        <v>0</v>
      </c>
      <c r="R28" s="545">
        <f aca="true" t="shared" si="41" ref="R28:R33">MINUTE(P28)</f>
        <v>0</v>
      </c>
      <c r="S28" s="545">
        <f aca="true" t="shared" si="42" ref="S28:S33">IF(R28&lt;=7,0,IF(AND(R28&gt;=8,R28&lt;=22),15,IF(AND(R28&gt;=23,R28&lt;=37),30,IF(AND(R28&gt;=38,R28&lt;=52),45,60))))</f>
        <v>0</v>
      </c>
      <c r="T28" s="544" t="str">
        <f aca="true" t="shared" si="43" ref="T28:T33">Q28&amp;":"&amp;S28</f>
        <v>0:0</v>
      </c>
      <c r="U28" s="544">
        <f aca="true" t="shared" si="44" ref="U28:U33">TIME(Q28,S28,0)*24/24</f>
        <v>0</v>
      </c>
    </row>
    <row r="29" spans="1:21" s="538" customFormat="1" ht="12.75">
      <c r="A29" s="538" t="str">
        <f>'Hourly (Weekly)'!A21</f>
        <v>Tuesday</v>
      </c>
      <c r="B29" s="550">
        <f>SUM(IF('Hourly (Weekly)'!D21&lt;'Hourly (Weekly)'!C21,'Hourly (Weekly)'!D21+1,'Hourly (Weekly)'!D21)-'Hourly (Weekly)'!C21,IF('Hourly (Weekly)'!F21&lt;'Hourly (Weekly)'!E21,'Hourly (Weekly)'!F21+1,'Hourly (Weekly)'!F21)-'Hourly (Weekly)'!E21)*24/24</f>
        <v>0</v>
      </c>
      <c r="C29" s="540">
        <f t="shared" si="30"/>
        <v>0</v>
      </c>
      <c r="D29" s="540">
        <f t="shared" si="34"/>
        <v>0</v>
      </c>
      <c r="E29" s="540">
        <f t="shared" si="35"/>
        <v>0</v>
      </c>
      <c r="F29" s="540" t="str">
        <f t="shared" si="36"/>
        <v>0:0</v>
      </c>
      <c r="G29" s="541">
        <f t="shared" si="37"/>
        <v>0</v>
      </c>
      <c r="H29" s="541">
        <f>'Hourly (Weekly)'!E21-'Hourly (Weekly)'!D21</f>
        <v>0</v>
      </c>
      <c r="I29" s="542">
        <f>IF('Hourly (Weekly)'!F21&gt;=TIME(19,1,0),'Hourly (Weekly)'!F21*24-18,0)/24</f>
        <v>0</v>
      </c>
      <c r="J29" s="543">
        <f t="shared" si="38"/>
        <v>0</v>
      </c>
      <c r="K29" s="543"/>
      <c r="L29" s="543">
        <f t="shared" si="31"/>
        <v>0</v>
      </c>
      <c r="M29" s="543">
        <f t="shared" si="39"/>
        <v>0</v>
      </c>
      <c r="N29" s="542" t="str">
        <f t="shared" si="32"/>
        <v>0:0</v>
      </c>
      <c r="O29" s="542">
        <f t="shared" si="33"/>
        <v>0</v>
      </c>
      <c r="P29" s="544">
        <f>IF((('Hourly (Weekly)'!F21-'Hourly (Weekly)'!C21)-('Hourly (Weekly)'!E21-'Hourly (Weekly)'!D21))*24&gt;8,(('Hourly (Weekly)'!F21-'Hourly (Weekly)'!C21)-('Hourly (Weekly)'!E21-'Hourly (Weekly)'!D21))*24-8,0)/24</f>
        <v>0</v>
      </c>
      <c r="Q29" s="545">
        <f t="shared" si="40"/>
        <v>0</v>
      </c>
      <c r="R29" s="545">
        <f t="shared" si="41"/>
        <v>0</v>
      </c>
      <c r="S29" s="545">
        <f t="shared" si="42"/>
        <v>0</v>
      </c>
      <c r="T29" s="544" t="str">
        <f t="shared" si="43"/>
        <v>0:0</v>
      </c>
      <c r="U29" s="544">
        <f t="shared" si="44"/>
        <v>0</v>
      </c>
    </row>
    <row r="30" spans="1:21" s="547" customFormat="1" ht="12.75">
      <c r="A30" s="538" t="str">
        <f>'Hourly (Weekly)'!A22</f>
        <v>Wednesday</v>
      </c>
      <c r="B30" s="550">
        <f>SUM(IF('Hourly (Weekly)'!D22&lt;'Hourly (Weekly)'!C22,'Hourly (Weekly)'!D22+1,'Hourly (Weekly)'!D22)-'Hourly (Weekly)'!C22,IF('Hourly (Weekly)'!F22&lt;'Hourly (Weekly)'!E22,'Hourly (Weekly)'!F22+1,'Hourly (Weekly)'!F22)-'Hourly (Weekly)'!E22)*24/24</f>
        <v>0</v>
      </c>
      <c r="C30" s="546">
        <f t="shared" si="30"/>
        <v>0</v>
      </c>
      <c r="D30" s="546">
        <f t="shared" si="34"/>
        <v>0</v>
      </c>
      <c r="E30" s="540">
        <f t="shared" si="35"/>
        <v>0</v>
      </c>
      <c r="F30" s="546" t="str">
        <f t="shared" si="36"/>
        <v>0:0</v>
      </c>
      <c r="G30" s="541">
        <f t="shared" si="37"/>
        <v>0</v>
      </c>
      <c r="H30" s="541">
        <f>'Hourly (Weekly)'!E22-'Hourly (Weekly)'!D22</f>
        <v>0</v>
      </c>
      <c r="I30" s="542">
        <f>IF('Hourly (Weekly)'!F22&gt;=TIME(19,1,0),'Hourly (Weekly)'!F22*24-18,0)/24</f>
        <v>0</v>
      </c>
      <c r="J30" s="543">
        <f t="shared" si="38"/>
        <v>0</v>
      </c>
      <c r="K30" s="543"/>
      <c r="L30" s="543">
        <f t="shared" si="31"/>
        <v>0</v>
      </c>
      <c r="M30" s="543">
        <f t="shared" si="39"/>
        <v>0</v>
      </c>
      <c r="N30" s="542" t="str">
        <f t="shared" si="32"/>
        <v>0:0</v>
      </c>
      <c r="O30" s="542">
        <f t="shared" si="33"/>
        <v>0</v>
      </c>
      <c r="P30" s="544">
        <f>IF((('Hourly (Weekly)'!F22-'Hourly (Weekly)'!C22)-('Hourly (Weekly)'!E22-'Hourly (Weekly)'!D22))*24&gt;8,(('Hourly (Weekly)'!F22-'Hourly (Weekly)'!C22)-('Hourly (Weekly)'!E22-'Hourly (Weekly)'!D22))*24-8,0)/24</f>
        <v>0</v>
      </c>
      <c r="Q30" s="545">
        <f t="shared" si="40"/>
        <v>0</v>
      </c>
      <c r="R30" s="545">
        <f t="shared" si="41"/>
        <v>0</v>
      </c>
      <c r="S30" s="545">
        <f t="shared" si="42"/>
        <v>0</v>
      </c>
      <c r="T30" s="544" t="str">
        <f t="shared" si="43"/>
        <v>0:0</v>
      </c>
      <c r="U30" s="544">
        <f t="shared" si="44"/>
        <v>0</v>
      </c>
    </row>
    <row r="31" spans="1:21" s="538" customFormat="1" ht="12.75">
      <c r="A31" s="538" t="str">
        <f>'Hourly (Weekly)'!A23</f>
        <v>Thursday</v>
      </c>
      <c r="B31" s="550">
        <f>SUM(IF('Hourly (Weekly)'!D23&lt;'Hourly (Weekly)'!C23,'Hourly (Weekly)'!D23+1,'Hourly (Weekly)'!D23)-'Hourly (Weekly)'!C23,IF('Hourly (Weekly)'!F23&lt;'Hourly (Weekly)'!E23,'Hourly (Weekly)'!F23+1,'Hourly (Weekly)'!F23)-'Hourly (Weekly)'!E23)*24/24</f>
        <v>0</v>
      </c>
      <c r="C31" s="540">
        <f t="shared" si="30"/>
        <v>0</v>
      </c>
      <c r="D31" s="540">
        <f t="shared" si="34"/>
        <v>0</v>
      </c>
      <c r="E31" s="540">
        <f t="shared" si="35"/>
        <v>0</v>
      </c>
      <c r="F31" s="540" t="str">
        <f t="shared" si="36"/>
        <v>0:0</v>
      </c>
      <c r="G31" s="541">
        <f t="shared" si="37"/>
        <v>0</v>
      </c>
      <c r="H31" s="541">
        <f>'Hourly (Weekly)'!E23-'Hourly (Weekly)'!D23</f>
        <v>0</v>
      </c>
      <c r="I31" s="542">
        <f>IF('Hourly (Weekly)'!F23&gt;=TIME(19,1,0),'Hourly (Weekly)'!F23*24-18,0)/24</f>
        <v>0</v>
      </c>
      <c r="J31" s="543">
        <f t="shared" si="38"/>
        <v>0</v>
      </c>
      <c r="K31" s="543"/>
      <c r="L31" s="543">
        <f t="shared" si="31"/>
        <v>0</v>
      </c>
      <c r="M31" s="543">
        <f t="shared" si="39"/>
        <v>0</v>
      </c>
      <c r="N31" s="542" t="str">
        <f t="shared" si="32"/>
        <v>0:0</v>
      </c>
      <c r="O31" s="542">
        <f t="shared" si="33"/>
        <v>0</v>
      </c>
      <c r="P31" s="544">
        <f>IF((('Hourly (Weekly)'!F23-'Hourly (Weekly)'!C23)-('Hourly (Weekly)'!E23-'Hourly (Weekly)'!D23))*24&gt;8,(('Hourly (Weekly)'!F23-'Hourly (Weekly)'!C23)-('Hourly (Weekly)'!E23-'Hourly (Weekly)'!D23))*24-8,0)/24</f>
        <v>0</v>
      </c>
      <c r="Q31" s="545">
        <f t="shared" si="40"/>
        <v>0</v>
      </c>
      <c r="R31" s="545">
        <f t="shared" si="41"/>
        <v>0</v>
      </c>
      <c r="S31" s="545">
        <f t="shared" si="42"/>
        <v>0</v>
      </c>
      <c r="T31" s="544" t="str">
        <f t="shared" si="43"/>
        <v>0:0</v>
      </c>
      <c r="U31" s="544">
        <f t="shared" si="44"/>
        <v>0</v>
      </c>
    </row>
    <row r="32" spans="1:21" s="538" customFormat="1" ht="12.75">
      <c r="A32" s="538" t="str">
        <f>'Hourly (Weekly)'!A24</f>
        <v>Friday</v>
      </c>
      <c r="B32" s="550">
        <f>SUM(IF('Hourly (Weekly)'!D24&lt;'Hourly (Weekly)'!C24,'Hourly (Weekly)'!D24+1,'Hourly (Weekly)'!D24)-'Hourly (Weekly)'!C24,IF('Hourly (Weekly)'!F24&lt;'Hourly (Weekly)'!E24,'Hourly (Weekly)'!F24+1,'Hourly (Weekly)'!F24)-'Hourly (Weekly)'!E24)*24/24</f>
        <v>0</v>
      </c>
      <c r="C32" s="540">
        <f t="shared" si="30"/>
        <v>0</v>
      </c>
      <c r="D32" s="540">
        <f t="shared" si="34"/>
        <v>0</v>
      </c>
      <c r="E32" s="540">
        <f t="shared" si="35"/>
        <v>0</v>
      </c>
      <c r="F32" s="540" t="str">
        <f t="shared" si="36"/>
        <v>0:0</v>
      </c>
      <c r="G32" s="541">
        <f t="shared" si="37"/>
        <v>0</v>
      </c>
      <c r="H32" s="541">
        <f>'Hourly (Weekly)'!E24-'Hourly (Weekly)'!D24</f>
        <v>0</v>
      </c>
      <c r="I32" s="542">
        <f>IF('Hourly (Weekly)'!F24&gt;=TIME(19,1,0),'Hourly (Weekly)'!F24*24-18,0)/24</f>
        <v>0</v>
      </c>
      <c r="J32" s="543">
        <f t="shared" si="38"/>
        <v>0</v>
      </c>
      <c r="K32" s="543"/>
      <c r="L32" s="543">
        <f t="shared" si="31"/>
        <v>0</v>
      </c>
      <c r="M32" s="543">
        <f t="shared" si="39"/>
        <v>0</v>
      </c>
      <c r="N32" s="542" t="str">
        <f t="shared" si="32"/>
        <v>0:0</v>
      </c>
      <c r="O32" s="542">
        <f t="shared" si="33"/>
        <v>0</v>
      </c>
      <c r="P32" s="544">
        <f>IF((('Hourly (Weekly)'!F24-'Hourly (Weekly)'!C24)-('Hourly (Weekly)'!E24-'Hourly (Weekly)'!D24))*24&gt;8,(('Hourly (Weekly)'!F24-'Hourly (Weekly)'!C24)-('Hourly (Weekly)'!E24-'Hourly (Weekly)'!D24))*24-8,0)/24</f>
        <v>0</v>
      </c>
      <c r="Q32" s="545">
        <f t="shared" si="40"/>
        <v>0</v>
      </c>
      <c r="R32" s="545">
        <f t="shared" si="41"/>
        <v>0</v>
      </c>
      <c r="S32" s="545">
        <f t="shared" si="42"/>
        <v>0</v>
      </c>
      <c r="T32" s="544" t="str">
        <f t="shared" si="43"/>
        <v>0:0</v>
      </c>
      <c r="U32" s="544">
        <f t="shared" si="44"/>
        <v>0</v>
      </c>
    </row>
    <row r="33" spans="1:21" s="538" customFormat="1" ht="12.75">
      <c r="A33" s="538" t="str">
        <f>'Hourly (Weekly)'!A25</f>
        <v>Saturday</v>
      </c>
      <c r="B33" s="550">
        <f>SUM(IF('Hourly (Weekly)'!D25&lt;'Hourly (Weekly)'!C25,'Hourly (Weekly)'!D25+1,'Hourly (Weekly)'!D25)-'Hourly (Weekly)'!C25,IF('Hourly (Weekly)'!F25&lt;'Hourly (Weekly)'!E25,'Hourly (Weekly)'!F25+1,'Hourly (Weekly)'!F25)-'Hourly (Weekly)'!E25)*24/24</f>
        <v>0</v>
      </c>
      <c r="C33" s="540">
        <f t="shared" si="30"/>
        <v>0</v>
      </c>
      <c r="D33" s="540">
        <f t="shared" si="34"/>
        <v>0</v>
      </c>
      <c r="E33" s="540">
        <f t="shared" si="35"/>
        <v>0</v>
      </c>
      <c r="F33" s="540" t="str">
        <f t="shared" si="36"/>
        <v>0:0</v>
      </c>
      <c r="G33" s="541">
        <f t="shared" si="37"/>
        <v>0</v>
      </c>
      <c r="H33" s="541">
        <f>'Hourly (Weekly)'!E25-'Hourly (Weekly)'!D25</f>
        <v>0</v>
      </c>
      <c r="I33" s="542">
        <f>IF('Hourly (Weekly)'!F25&gt;=TIME(19,1,0),'Hourly (Weekly)'!F25*24-18,0)/24</f>
        <v>0</v>
      </c>
      <c r="J33" s="543">
        <f t="shared" si="38"/>
        <v>0</v>
      </c>
      <c r="K33" s="543"/>
      <c r="L33" s="543">
        <f t="shared" si="31"/>
        <v>0</v>
      </c>
      <c r="M33" s="543">
        <f t="shared" si="39"/>
        <v>0</v>
      </c>
      <c r="N33" s="542" t="str">
        <f t="shared" si="32"/>
        <v>0:0</v>
      </c>
      <c r="O33" s="542">
        <f t="shared" si="33"/>
        <v>0</v>
      </c>
      <c r="P33" s="544">
        <f>IF((('Hourly (Weekly)'!F25-'Hourly (Weekly)'!C25)-('Hourly (Weekly)'!E25-'Hourly (Weekly)'!D25))*24&gt;8,(('Hourly (Weekly)'!F25-'Hourly (Weekly)'!C25)-('Hourly (Weekly)'!E25-'Hourly (Weekly)'!D25))*24-8,0)/24</f>
        <v>0</v>
      </c>
      <c r="Q33" s="545">
        <f t="shared" si="40"/>
        <v>0</v>
      </c>
      <c r="R33" s="545">
        <f t="shared" si="41"/>
        <v>0</v>
      </c>
      <c r="S33" s="545">
        <f t="shared" si="42"/>
        <v>0</v>
      </c>
      <c r="T33" s="544" t="str">
        <f t="shared" si="43"/>
        <v>0:0</v>
      </c>
      <c r="U33" s="544">
        <f t="shared" si="44"/>
        <v>0</v>
      </c>
    </row>
    <row r="34" spans="2:5" s="451" customFormat="1" ht="12.75">
      <c r="B34" s="452"/>
      <c r="C34" s="452"/>
      <c r="D34" s="452"/>
      <c r="E34" s="452"/>
    </row>
    <row r="35" spans="1:5" s="529" customFormat="1" ht="12.75">
      <c r="A35" s="527" t="s">
        <v>496</v>
      </c>
      <c r="B35" s="528"/>
      <c r="C35" s="528"/>
      <c r="D35" s="528"/>
      <c r="E35" s="528"/>
    </row>
    <row r="36" spans="1:21" s="69" customFormat="1" ht="25.5">
      <c r="A36" s="69" t="s">
        <v>0</v>
      </c>
      <c r="B36" s="78" t="s">
        <v>488</v>
      </c>
      <c r="C36" s="78" t="s">
        <v>489</v>
      </c>
      <c r="D36" s="78" t="s">
        <v>490</v>
      </c>
      <c r="E36" s="78" t="s">
        <v>491</v>
      </c>
      <c r="F36" s="497" t="s">
        <v>493</v>
      </c>
      <c r="G36" s="498" t="s">
        <v>231</v>
      </c>
      <c r="H36" s="498" t="s">
        <v>251</v>
      </c>
      <c r="I36" s="81" t="s">
        <v>234</v>
      </c>
      <c r="J36" s="81" t="s">
        <v>233</v>
      </c>
      <c r="K36" s="81" t="s">
        <v>515</v>
      </c>
      <c r="L36" s="81" t="s">
        <v>235</v>
      </c>
      <c r="M36" s="80" t="s">
        <v>232</v>
      </c>
      <c r="N36" s="81" t="s">
        <v>238</v>
      </c>
      <c r="O36" s="81" t="s">
        <v>237</v>
      </c>
      <c r="P36" s="82" t="s">
        <v>239</v>
      </c>
      <c r="Q36" s="82" t="s">
        <v>240</v>
      </c>
      <c r="R36" s="82" t="s">
        <v>241</v>
      </c>
      <c r="S36" s="83" t="s">
        <v>242</v>
      </c>
      <c r="T36" s="82" t="s">
        <v>243</v>
      </c>
      <c r="U36" s="82" t="s">
        <v>244</v>
      </c>
    </row>
    <row r="37" spans="1:21" ht="12.75">
      <c r="A37" t="str">
        <f>A27</f>
        <v>Sunday</v>
      </c>
      <c r="B37" s="495">
        <f>'Hourly (Weekly)'!C19</f>
        <v>0</v>
      </c>
      <c r="C37" s="495">
        <f>'Hourly (Weekly)'!D19</f>
        <v>0</v>
      </c>
      <c r="D37" s="495">
        <f>'Hourly (Weekly)'!E19</f>
        <v>0</v>
      </c>
      <c r="E37" s="495">
        <f>'Hourly (Weekly)'!F19</f>
        <v>0</v>
      </c>
      <c r="F37" s="509">
        <f aca="true" t="shared" si="45" ref="F37:F43">IF(E37&lt;B37,E37+1,E37)</f>
        <v>0</v>
      </c>
      <c r="G37" s="509">
        <f>TIME(C27,E27,0)*24/24</f>
        <v>0</v>
      </c>
      <c r="H37" s="509">
        <f aca="true" t="shared" si="46" ref="H37:H43">D37-C37</f>
        <v>0</v>
      </c>
      <c r="I37" s="559">
        <f>IF((E37-$B$56)&gt;0,IF((E37-($B$56+1/24))&gt;0,(E37-$B$56)*24,0),0)-IF((D37-$B$56)&gt;0,IF((E37-($B$56+1/24))&gt;0,(D37-$B$56)*24,0),0)+IF(AND((B37-$B$57)&lt;0,(C37-$B$57)&gt;0),IF(AND((B37-$B$57)&lt;0,(C37-$B$57)&lt;0),($B$57-B37)*24+(C37-$B$57)*24,($B$57-B37)*24),IF(AND((B37-$B$57)&lt;0,(C37-$B$57)&lt;0),IF(AND((D37-$B$57)&lt;0,(E37-$B$57)&lt;=0),(C37-B37)*24+(E37-D37)*24,(C37-B37)*24),0))</f>
        <v>0</v>
      </c>
      <c r="J37" s="74">
        <f>I37/24</f>
        <v>0</v>
      </c>
      <c r="K37" s="76">
        <f>HOUR(A47)</f>
        <v>0</v>
      </c>
      <c r="L37" s="76">
        <f>MINUTE(A47)</f>
        <v>0</v>
      </c>
      <c r="M37" s="76">
        <f>IF(L37&lt;=7,0,IF(AND(L37&gt;=8,L37&lt;=22),15,IF(AND(L37&gt;=23,L37&lt;=37),30,IF(AND(L37&gt;=38,L37&lt;=52),45,60))))</f>
        <v>0</v>
      </c>
      <c r="N37" s="509" t="str">
        <f>K37&amp;":"&amp;M37</f>
        <v>0:0</v>
      </c>
      <c r="O37" s="509">
        <f>TIME(K37,M37,0)*24/24</f>
        <v>0</v>
      </c>
      <c r="P37" s="84">
        <f>IF((('Hourly (Weekly)'!F29-'Hourly (Weekly)'!C29)-('Hourly (Weekly)'!E29-'Hourly (Weekly)'!D29))*24&gt;8,(('Hourly (Weekly)'!F29-'Hourly (Weekly)'!C29)-('Hourly (Weekly)'!E29-'Hourly (Weekly)'!D29))*24-8,0)/24</f>
        <v>0</v>
      </c>
      <c r="Q37" s="85">
        <f>HOUR(P37)</f>
        <v>0</v>
      </c>
      <c r="R37" s="85">
        <f>MINUTE(P37)</f>
        <v>0</v>
      </c>
      <c r="S37" s="85">
        <f>IF(R37&lt;=7,0,IF(AND(R37&gt;=8,R37&lt;=22),15,IF(AND(R37&gt;=23,R37&lt;=37),30,IF(AND(R37&gt;=38,R37&lt;=52),45,60))))</f>
        <v>0</v>
      </c>
      <c r="T37" s="84" t="str">
        <f>Q37&amp;":"&amp;S37</f>
        <v>0:0</v>
      </c>
      <c r="U37" s="84">
        <f>TIME(Q37,S37,0)*24/24</f>
        <v>0</v>
      </c>
    </row>
    <row r="38" spans="1:21" ht="12.75">
      <c r="A38" t="str">
        <f aca="true" t="shared" si="47" ref="A38:A43">A28</f>
        <v>Monday</v>
      </c>
      <c r="B38" s="495">
        <f>'Hourly (Weekly)'!C20</f>
        <v>0</v>
      </c>
      <c r="C38" s="495">
        <f>'Hourly (Weekly)'!D20</f>
        <v>0</v>
      </c>
      <c r="D38" s="495">
        <f>'Hourly (Weekly)'!E20</f>
        <v>0</v>
      </c>
      <c r="E38" s="495">
        <f>'Hourly (Weekly)'!F20</f>
        <v>0</v>
      </c>
      <c r="F38" s="509">
        <f t="shared" si="45"/>
        <v>0</v>
      </c>
      <c r="G38" s="509">
        <f aca="true" t="shared" si="48" ref="G38:G43">TIME(C28,E28,0)*24/24</f>
        <v>0</v>
      </c>
      <c r="H38" s="509">
        <f t="shared" si="46"/>
        <v>0</v>
      </c>
      <c r="I38" s="559">
        <f aca="true" t="shared" si="49" ref="I38:I43">IF((E38-$B$56)&gt;0,IF((E38-($B$56+1/24))&gt;0,(E38-$B$56)*24,0),0)-IF((D38-$B$56)&gt;0,IF((E38-($B$56+1/24))&gt;0,(D38-$B$56)*24,0),0)+IF(AND((B38-$B$57)&lt;0,(C38-$B$57)&gt;0),IF(AND((B38-$B$57)&lt;0,(C38-$B$57)&lt;0),($B$57-B38)*24+(C38-$B$57)*24,($B$57-B38)*24),IF(AND((B38-$B$57)&lt;0,(C38-$B$57)&lt;0),IF(AND((D38-$B$57)&lt;0,(E38-$B$57)&lt;=0),(C38-B38)*24+(E38-D38)*24,(C38-B38)*24),0))</f>
        <v>0</v>
      </c>
      <c r="J38" s="74">
        <f aca="true" t="shared" si="50" ref="J38:J43">I38/24</f>
        <v>0</v>
      </c>
      <c r="K38" s="76">
        <f aca="true" t="shared" si="51" ref="K38:K43">HOUR(A48)</f>
        <v>0</v>
      </c>
      <c r="L38" s="76">
        <f aca="true" t="shared" si="52" ref="L38:L43">MINUTE(A48)</f>
        <v>0</v>
      </c>
      <c r="M38" s="76">
        <f aca="true" t="shared" si="53" ref="M38:M43">IF(L38&lt;=7,0,IF(AND(L38&gt;=8,L38&lt;=22),15,IF(AND(L38&gt;=23,L38&lt;=37),30,IF(AND(L38&gt;=38,L38&lt;=52),45,60))))</f>
        <v>0</v>
      </c>
      <c r="N38" s="509" t="str">
        <f aca="true" t="shared" si="54" ref="N38:N43">K38&amp;":"&amp;M38</f>
        <v>0:0</v>
      </c>
      <c r="O38" s="509">
        <f aca="true" t="shared" si="55" ref="O38:O43">TIME(K38,M38,0)*24/24</f>
        <v>0</v>
      </c>
      <c r="P38" s="84">
        <f>IF((('Hourly (Weekly)'!F30-'Hourly (Weekly)'!C30)-('Hourly (Weekly)'!E30-'Hourly (Weekly)'!D30))*24&gt;8,(('Hourly (Weekly)'!F30-'Hourly (Weekly)'!C30)-('Hourly (Weekly)'!E30-'Hourly (Weekly)'!D30))*24-8,0)/24</f>
        <v>0</v>
      </c>
      <c r="Q38" s="85">
        <f aca="true" t="shared" si="56" ref="Q38:Q43">HOUR(P38)</f>
        <v>0</v>
      </c>
      <c r="R38" s="85">
        <f aca="true" t="shared" si="57" ref="R38:R43">MINUTE(P38)</f>
        <v>0</v>
      </c>
      <c r="S38" s="85">
        <f aca="true" t="shared" si="58" ref="S38:S43">IF(R38&lt;=7,0,IF(AND(R38&gt;=8,R38&lt;=22),15,IF(AND(R38&gt;=23,R38&lt;=37),30,IF(AND(R38&gt;=38,R38&lt;=52),45,60))))</f>
        <v>0</v>
      </c>
      <c r="T38" s="84" t="str">
        <f aca="true" t="shared" si="59" ref="T38:T43">Q38&amp;":"&amp;S38</f>
        <v>0:0</v>
      </c>
      <c r="U38" s="84">
        <f aca="true" t="shared" si="60" ref="U38:U43">TIME(Q38,S38,0)*24/24</f>
        <v>0</v>
      </c>
    </row>
    <row r="39" spans="1:21" ht="12.75">
      <c r="A39" t="str">
        <f t="shared" si="47"/>
        <v>Tuesday</v>
      </c>
      <c r="B39" s="495">
        <f>'Hourly (Weekly)'!C21</f>
        <v>0</v>
      </c>
      <c r="C39" s="495">
        <f>'Hourly (Weekly)'!D21</f>
        <v>0</v>
      </c>
      <c r="D39" s="495">
        <f>'Hourly (Weekly)'!E21</f>
        <v>0</v>
      </c>
      <c r="E39" s="495">
        <f>'Hourly (Weekly)'!F21</f>
        <v>0</v>
      </c>
      <c r="F39" s="509">
        <f t="shared" si="45"/>
        <v>0</v>
      </c>
      <c r="G39" s="509">
        <f t="shared" si="48"/>
        <v>0</v>
      </c>
      <c r="H39" s="509">
        <f t="shared" si="46"/>
        <v>0</v>
      </c>
      <c r="I39" s="559">
        <f t="shared" si="49"/>
        <v>0</v>
      </c>
      <c r="J39" s="74">
        <f t="shared" si="50"/>
        <v>0</v>
      </c>
      <c r="K39" s="76">
        <f t="shared" si="51"/>
        <v>0</v>
      </c>
      <c r="L39" s="76">
        <f t="shared" si="52"/>
        <v>0</v>
      </c>
      <c r="M39" s="76">
        <f t="shared" si="53"/>
        <v>0</v>
      </c>
      <c r="N39" s="509" t="str">
        <f t="shared" si="54"/>
        <v>0:0</v>
      </c>
      <c r="O39" s="509">
        <f t="shared" si="55"/>
        <v>0</v>
      </c>
      <c r="P39" s="84" t="e">
        <f>IF((('Hourly (Weekly)'!F31-'Hourly (Weekly)'!C31)-('Hourly (Weekly)'!E31-'Hourly (Weekly)'!D31))*24&gt;8,(('Hourly (Weekly)'!F31-'Hourly (Weekly)'!C31)-('Hourly (Weekly)'!E31-'Hourly (Weekly)'!D31))*24-8,0)/24</f>
        <v>#VALUE!</v>
      </c>
      <c r="Q39" s="85" t="e">
        <f t="shared" si="56"/>
        <v>#VALUE!</v>
      </c>
      <c r="R39" s="85" t="e">
        <f t="shared" si="57"/>
        <v>#VALUE!</v>
      </c>
      <c r="S39" s="85" t="e">
        <f t="shared" si="58"/>
        <v>#VALUE!</v>
      </c>
      <c r="T39" s="84" t="e">
        <f t="shared" si="59"/>
        <v>#VALUE!</v>
      </c>
      <c r="U39" s="84" t="e">
        <f t="shared" si="60"/>
        <v>#VALUE!</v>
      </c>
    </row>
    <row r="40" spans="1:21" s="72" customFormat="1" ht="12.75">
      <c r="A40" t="str">
        <f t="shared" si="47"/>
        <v>Wednesday</v>
      </c>
      <c r="B40" s="495">
        <f>'Hourly (Weekly)'!C22</f>
        <v>0</v>
      </c>
      <c r="C40" s="495">
        <f>'Hourly (Weekly)'!D22</f>
        <v>0</v>
      </c>
      <c r="D40" s="495">
        <f>'Hourly (Weekly)'!E22</f>
        <v>0</v>
      </c>
      <c r="E40" s="495">
        <f>'Hourly (Weekly)'!F22</f>
        <v>0</v>
      </c>
      <c r="F40" s="509">
        <f t="shared" si="45"/>
        <v>0</v>
      </c>
      <c r="G40" s="509">
        <f t="shared" si="48"/>
        <v>0</v>
      </c>
      <c r="H40" s="509">
        <f t="shared" si="46"/>
        <v>0</v>
      </c>
      <c r="I40" s="559">
        <f t="shared" si="49"/>
        <v>0</v>
      </c>
      <c r="J40" s="74">
        <f t="shared" si="50"/>
        <v>0</v>
      </c>
      <c r="K40" s="76">
        <f t="shared" si="51"/>
        <v>0</v>
      </c>
      <c r="L40" s="76">
        <f t="shared" si="52"/>
        <v>0</v>
      </c>
      <c r="M40" s="76">
        <f t="shared" si="53"/>
        <v>0</v>
      </c>
      <c r="N40" s="509" t="str">
        <f t="shared" si="54"/>
        <v>0:0</v>
      </c>
      <c r="O40" s="509">
        <f t="shared" si="55"/>
        <v>0</v>
      </c>
      <c r="P40" s="84">
        <f>IF((('Hourly (Weekly)'!F32-'Hourly (Weekly)'!C32)-('Hourly (Weekly)'!E32-'Hourly (Weekly)'!D32))*24&gt;8,(('Hourly (Weekly)'!F32-'Hourly (Weekly)'!C32)-('Hourly (Weekly)'!E32-'Hourly (Weekly)'!D32))*24-8,0)/24</f>
        <v>0</v>
      </c>
      <c r="Q40" s="85">
        <f t="shared" si="56"/>
        <v>0</v>
      </c>
      <c r="R40" s="85">
        <f t="shared" si="57"/>
        <v>0</v>
      </c>
      <c r="S40" s="85">
        <f t="shared" si="58"/>
        <v>0</v>
      </c>
      <c r="T40" s="84" t="str">
        <f t="shared" si="59"/>
        <v>0:0</v>
      </c>
      <c r="U40" s="84">
        <f t="shared" si="60"/>
        <v>0</v>
      </c>
    </row>
    <row r="41" spans="1:21" ht="12.75">
      <c r="A41" t="str">
        <f t="shared" si="47"/>
        <v>Thursday</v>
      </c>
      <c r="B41" s="495">
        <f>'Hourly (Weekly)'!C23</f>
        <v>0</v>
      </c>
      <c r="C41" s="495">
        <f>'Hourly (Weekly)'!D23</f>
        <v>0</v>
      </c>
      <c r="D41" s="495">
        <f>'Hourly (Weekly)'!E23</f>
        <v>0</v>
      </c>
      <c r="E41" s="495">
        <f>'Hourly (Weekly)'!F23</f>
        <v>0</v>
      </c>
      <c r="F41" s="509">
        <f t="shared" si="45"/>
        <v>0</v>
      </c>
      <c r="G41" s="509">
        <f t="shared" si="48"/>
        <v>0</v>
      </c>
      <c r="H41" s="509">
        <f t="shared" si="46"/>
        <v>0</v>
      </c>
      <c r="I41" s="559">
        <f t="shared" si="49"/>
        <v>0</v>
      </c>
      <c r="J41" s="74">
        <f t="shared" si="50"/>
        <v>0</v>
      </c>
      <c r="K41" s="76">
        <f t="shared" si="51"/>
        <v>0</v>
      </c>
      <c r="L41" s="76">
        <f t="shared" si="52"/>
        <v>0</v>
      </c>
      <c r="M41" s="76">
        <f t="shared" si="53"/>
        <v>0</v>
      </c>
      <c r="N41" s="509" t="str">
        <f t="shared" si="54"/>
        <v>0:0</v>
      </c>
      <c r="O41" s="509">
        <f t="shared" si="55"/>
        <v>0</v>
      </c>
      <c r="P41" s="84">
        <f>IF((('Hourly (Weekly)'!F33-'Hourly (Weekly)'!C33)-('Hourly (Weekly)'!E33-'Hourly (Weekly)'!D33))*24&gt;8,(('Hourly (Weekly)'!F33-'Hourly (Weekly)'!C33)-('Hourly (Weekly)'!E33-'Hourly (Weekly)'!D33))*24-8,0)/24</f>
        <v>0</v>
      </c>
      <c r="Q41" s="85">
        <f t="shared" si="56"/>
        <v>0</v>
      </c>
      <c r="R41" s="85">
        <f t="shared" si="57"/>
        <v>0</v>
      </c>
      <c r="S41" s="85">
        <f t="shared" si="58"/>
        <v>0</v>
      </c>
      <c r="T41" s="84" t="str">
        <f t="shared" si="59"/>
        <v>0:0</v>
      </c>
      <c r="U41" s="84">
        <f t="shared" si="60"/>
        <v>0</v>
      </c>
    </row>
    <row r="42" spans="1:21" ht="12.75">
      <c r="A42" t="str">
        <f t="shared" si="47"/>
        <v>Friday</v>
      </c>
      <c r="B42" s="495">
        <f>'Hourly (Weekly)'!C24</f>
        <v>0</v>
      </c>
      <c r="C42" s="495">
        <f>'Hourly (Weekly)'!D24</f>
        <v>0</v>
      </c>
      <c r="D42" s="495">
        <f>'Hourly (Weekly)'!E24</f>
        <v>0</v>
      </c>
      <c r="E42" s="495">
        <f>'Hourly (Weekly)'!F24</f>
        <v>0</v>
      </c>
      <c r="F42" s="509">
        <f t="shared" si="45"/>
        <v>0</v>
      </c>
      <c r="G42" s="509">
        <f t="shared" si="48"/>
        <v>0</v>
      </c>
      <c r="H42" s="509">
        <f t="shared" si="46"/>
        <v>0</v>
      </c>
      <c r="I42" s="559">
        <f t="shared" si="49"/>
        <v>0</v>
      </c>
      <c r="J42" s="74">
        <f t="shared" si="50"/>
        <v>0</v>
      </c>
      <c r="K42" s="76">
        <f t="shared" si="51"/>
        <v>0</v>
      </c>
      <c r="L42" s="76">
        <f t="shared" si="52"/>
        <v>0</v>
      </c>
      <c r="M42" s="76">
        <f t="shared" si="53"/>
        <v>0</v>
      </c>
      <c r="N42" s="509" t="str">
        <f t="shared" si="54"/>
        <v>0:0</v>
      </c>
      <c r="O42" s="509">
        <f t="shared" si="55"/>
        <v>0</v>
      </c>
      <c r="P42" s="84">
        <f>IF((('Hourly (Weekly)'!F34-'Hourly (Weekly)'!C34)-('Hourly (Weekly)'!E34-'Hourly (Weekly)'!D34))*24&gt;8,(('Hourly (Weekly)'!F34-'Hourly (Weekly)'!C34)-('Hourly (Weekly)'!E34-'Hourly (Weekly)'!D34))*24-8,0)/24</f>
        <v>0</v>
      </c>
      <c r="Q42" s="85">
        <f t="shared" si="56"/>
        <v>0</v>
      </c>
      <c r="R42" s="85">
        <f t="shared" si="57"/>
        <v>0</v>
      </c>
      <c r="S42" s="85">
        <f t="shared" si="58"/>
        <v>0</v>
      </c>
      <c r="T42" s="84" t="str">
        <f t="shared" si="59"/>
        <v>0:0</v>
      </c>
      <c r="U42" s="84">
        <f t="shared" si="60"/>
        <v>0</v>
      </c>
    </row>
    <row r="43" spans="1:21" ht="12.75">
      <c r="A43" t="str">
        <f t="shared" si="47"/>
        <v>Saturday</v>
      </c>
      <c r="B43" s="495">
        <f>'Hourly (Weekly)'!C25</f>
        <v>0</v>
      </c>
      <c r="C43" s="495">
        <f>'Hourly (Weekly)'!D25</f>
        <v>0</v>
      </c>
      <c r="D43" s="495">
        <f>'Hourly (Weekly)'!E25</f>
        <v>0</v>
      </c>
      <c r="E43" s="495">
        <f>'Hourly (Weekly)'!F25</f>
        <v>0</v>
      </c>
      <c r="F43" s="509">
        <f t="shared" si="45"/>
        <v>0</v>
      </c>
      <c r="G43" s="509">
        <f t="shared" si="48"/>
        <v>0</v>
      </c>
      <c r="H43" s="509">
        <f t="shared" si="46"/>
        <v>0</v>
      </c>
      <c r="I43" s="559">
        <f t="shared" si="49"/>
        <v>0</v>
      </c>
      <c r="J43" s="74">
        <f t="shared" si="50"/>
        <v>0</v>
      </c>
      <c r="K43" s="76">
        <f t="shared" si="51"/>
        <v>0</v>
      </c>
      <c r="L43" s="76">
        <f t="shared" si="52"/>
        <v>0</v>
      </c>
      <c r="M43" s="76">
        <f t="shared" si="53"/>
        <v>0</v>
      </c>
      <c r="N43" s="509" t="str">
        <f t="shared" si="54"/>
        <v>0:0</v>
      </c>
      <c r="O43" s="509">
        <f t="shared" si="55"/>
        <v>0</v>
      </c>
      <c r="P43" s="84">
        <f>IF((('Hourly (Weekly)'!F35-'Hourly (Weekly)'!C35)-('Hourly (Weekly)'!E35-'Hourly (Weekly)'!D35))*24&gt;8,(('Hourly (Weekly)'!F35-'Hourly (Weekly)'!C35)-('Hourly (Weekly)'!E35-'Hourly (Weekly)'!D35))*24-8,0)/24</f>
        <v>0</v>
      </c>
      <c r="Q43" s="85">
        <f t="shared" si="56"/>
        <v>0</v>
      </c>
      <c r="R43" s="85">
        <f t="shared" si="57"/>
        <v>0</v>
      </c>
      <c r="S43" s="85">
        <f t="shared" si="58"/>
        <v>0</v>
      </c>
      <c r="T43" s="84" t="str">
        <f t="shared" si="59"/>
        <v>0:0</v>
      </c>
      <c r="U43" s="84">
        <f t="shared" si="60"/>
        <v>0</v>
      </c>
    </row>
    <row r="44" spans="2:21" ht="12.75">
      <c r="B44" s="495"/>
      <c r="C44" s="495"/>
      <c r="D44" s="495"/>
      <c r="E44" s="495"/>
      <c r="F44" s="469"/>
      <c r="G44" s="74"/>
      <c r="H44" s="70"/>
      <c r="I44" s="75"/>
      <c r="J44" s="76"/>
      <c r="K44" s="76"/>
      <c r="L44" s="76"/>
      <c r="M44" s="76"/>
      <c r="N44" s="75"/>
      <c r="O44" s="75"/>
      <c r="P44" s="84"/>
      <c r="Q44" s="85"/>
      <c r="R44" s="85"/>
      <c r="S44" s="85"/>
      <c r="T44" s="84"/>
      <c r="U44" s="84"/>
    </row>
    <row r="45" spans="2:21" ht="12.75">
      <c r="B45" s="495"/>
      <c r="C45" s="495"/>
      <c r="D45" s="495"/>
      <c r="E45" s="495"/>
      <c r="F45" s="469"/>
      <c r="G45" s="74"/>
      <c r="H45" s="74"/>
      <c r="I45" s="75"/>
      <c r="J45" s="76"/>
      <c r="K45" s="76"/>
      <c r="L45" s="76"/>
      <c r="M45" s="76"/>
      <c r="N45" s="75"/>
      <c r="O45" s="75"/>
      <c r="P45" s="84"/>
      <c r="Q45" s="85"/>
      <c r="R45" s="85"/>
      <c r="S45" s="85"/>
      <c r="T45" s="84"/>
      <c r="U45" s="84"/>
    </row>
    <row r="46" spans="1:21" ht="36">
      <c r="A46" s="565" t="s">
        <v>499</v>
      </c>
      <c r="B46" s="565" t="s">
        <v>501</v>
      </c>
      <c r="C46" s="532" t="s">
        <v>251</v>
      </c>
      <c r="D46" s="78"/>
      <c r="E46" s="78" t="s">
        <v>500</v>
      </c>
      <c r="F46" s="78"/>
      <c r="G46" s="512" t="s">
        <v>495</v>
      </c>
      <c r="H46" s="518" t="s">
        <v>498</v>
      </c>
      <c r="I46" s="511" t="s">
        <v>494</v>
      </c>
      <c r="J46" s="74"/>
      <c r="K46" s="74"/>
      <c r="L46" s="76"/>
      <c r="M46" s="76"/>
      <c r="N46" s="75"/>
      <c r="O46" s="75"/>
      <c r="P46" s="84"/>
      <c r="Q46" s="85"/>
      <c r="R46" s="85"/>
      <c r="S46" s="85"/>
      <c r="T46" s="84"/>
      <c r="U46" s="84"/>
    </row>
    <row r="47" spans="1:21" ht="12.75">
      <c r="A47" s="566">
        <f aca="true" t="shared" si="61" ref="A47:A53">IF(F37&lt;=TIME(19,1,0),0,(I37/24))</f>
        <v>0</v>
      </c>
      <c r="B47" s="539">
        <f>IF(AND(I47="PRIOR",F37&lt;TIME(19,1,0)),0,(A47-C47))</f>
        <v>0</v>
      </c>
      <c r="C47" s="539">
        <f aca="true" t="shared" si="62" ref="C47:C53">H37</f>
        <v>0</v>
      </c>
      <c r="D47" s="70"/>
      <c r="E47" s="456">
        <f>IF((E37-$B$56)&gt;0,IF((E37-($B$56+1/24))&gt;0,(E37-$B$56)*24,0),0)-IF((D37-$B$56)&gt;0,IF((E37-($B$56+1/24))&gt;0,(D37-$B$56)*24,0),0)+IF(AND((B37-$B$57)&lt;0,(C37-$B$57)&gt;0),IF(AND((B37-$B$57)&lt;0,(C37-$B$57)&lt;0),($B$57-B37)*24+(C37-$B$57)*24,($B$57-B37)*24),IF(AND((B37-$B$57)&lt;0,(C37-$B$57)&lt;0),IF(AND((D37-$B$57)&lt;0,(E37-$B$57)&lt;=0),(C37-B37)*24+(E37-D37)*24,(C37-B37)*24),0))+IF(AND(B37&gt;=$B$56,C37&gt;=($B$56+1/24)),(C37-B37)*24,0)</f>
        <v>0</v>
      </c>
      <c r="F47" s="7"/>
      <c r="G47" s="558">
        <f>E47</f>
        <v>0</v>
      </c>
      <c r="H47" s="519">
        <f>IF(G47&lt;0,0,G47)</f>
        <v>0</v>
      </c>
      <c r="I47" s="510" t="str">
        <f>IF(B37&lt;TIME(18,0,0),"Prior",IF(B37&gt;=TIME(18,0,0),"After","0"))</f>
        <v>Prior</v>
      </c>
      <c r="J47" s="76"/>
      <c r="K47" s="76"/>
      <c r="L47" s="76"/>
      <c r="M47" s="76"/>
      <c r="N47" s="75"/>
      <c r="O47" s="75"/>
      <c r="P47" s="84"/>
      <c r="Q47" s="85"/>
      <c r="R47" s="85"/>
      <c r="S47" s="85"/>
      <c r="T47" s="84"/>
      <c r="U47" s="84"/>
    </row>
    <row r="48" spans="1:21" ht="12.75">
      <c r="A48" s="566">
        <f t="shared" si="61"/>
        <v>0</v>
      </c>
      <c r="B48" s="539">
        <f aca="true" t="shared" si="63" ref="B48:B53">IF(AND(I48="PRIOR",F38&lt;TIME(19,1,0)),0,(A48-C48))</f>
        <v>0</v>
      </c>
      <c r="C48" s="539">
        <f t="shared" si="62"/>
        <v>0</v>
      </c>
      <c r="D48" s="70"/>
      <c r="E48" s="456">
        <f aca="true" t="shared" si="64" ref="E48:E53">IF((E38-$B$56)&gt;0,IF((E38-($B$56+1/24))&gt;0,(E38-$B$56)*24,0),0)-IF((D38-$B$56)&gt;0,IF((E38-($B$56+1/24))&gt;0,(D38-$B$56)*24,0),0)+IF(AND((B38-$B$57)&lt;0,(C38-$B$57)&gt;0),IF(AND((B38-$B$57)&lt;0,(C38-$B$57)&lt;0),($B$57-B38)*24+(C38-$B$57)*24,($B$57-B38)*24),IF(AND((B38-$B$57)&lt;0,(C38-$B$57)&lt;0),IF(AND((D38-$B$57)&lt;0,(E38-$B$57)&lt;=0),(C38-B38)*24+(E38-D38)*24,(C38-B38)*24),0))+IF(AND(B38&gt;=$B$56,C38&gt;=($B$56+1/24)),(C38-B38)*24,0)</f>
        <v>0</v>
      </c>
      <c r="F48" s="7"/>
      <c r="G48" s="558">
        <f aca="true" t="shared" si="65" ref="G48:G53">E48</f>
        <v>0</v>
      </c>
      <c r="H48" s="519">
        <f aca="true" t="shared" si="66" ref="H48:H53">IF(G48&lt;0,0,G48)</f>
        <v>0</v>
      </c>
      <c r="I48" s="510" t="str">
        <f aca="true" t="shared" si="67" ref="I48:I53">IF(B38&lt;TIME(18,0,0),"Prior",IF(B38&gt;=TIME(18,0,0),"After","0"))</f>
        <v>Prior</v>
      </c>
      <c r="J48" s="76"/>
      <c r="K48" s="76"/>
      <c r="L48" s="76"/>
      <c r="M48" s="76"/>
      <c r="N48" s="75"/>
      <c r="O48" s="75"/>
      <c r="P48" s="84"/>
      <c r="Q48" s="85"/>
      <c r="R48" s="85"/>
      <c r="S48" s="85"/>
      <c r="T48" s="84"/>
      <c r="U48" s="84"/>
    </row>
    <row r="49" spans="1:21" ht="12.75">
      <c r="A49" s="566">
        <f t="shared" si="61"/>
        <v>0</v>
      </c>
      <c r="B49" s="539">
        <f t="shared" si="63"/>
        <v>0</v>
      </c>
      <c r="C49" s="539">
        <f t="shared" si="62"/>
        <v>0</v>
      </c>
      <c r="D49" s="70"/>
      <c r="E49" s="456">
        <f t="shared" si="64"/>
        <v>0</v>
      </c>
      <c r="F49" s="7"/>
      <c r="G49" s="558">
        <f t="shared" si="65"/>
        <v>0</v>
      </c>
      <c r="H49" s="519">
        <f t="shared" si="66"/>
        <v>0</v>
      </c>
      <c r="I49" s="510" t="str">
        <f t="shared" si="67"/>
        <v>Prior</v>
      </c>
      <c r="J49" s="76"/>
      <c r="K49" s="76"/>
      <c r="L49" s="76"/>
      <c r="M49" s="76"/>
      <c r="N49" s="75"/>
      <c r="O49" s="75"/>
      <c r="P49" s="84"/>
      <c r="Q49" s="85"/>
      <c r="R49" s="85"/>
      <c r="S49" s="85"/>
      <c r="T49" s="84"/>
      <c r="U49" s="84"/>
    </row>
    <row r="50" spans="1:21" ht="12.75">
      <c r="A50" s="566">
        <f t="shared" si="61"/>
        <v>0</v>
      </c>
      <c r="B50" s="539">
        <f t="shared" si="63"/>
        <v>0</v>
      </c>
      <c r="C50" s="539">
        <f t="shared" si="62"/>
        <v>0</v>
      </c>
      <c r="D50" s="70"/>
      <c r="E50" s="456">
        <f t="shared" si="64"/>
        <v>0</v>
      </c>
      <c r="F50" s="7"/>
      <c r="G50" s="558">
        <f t="shared" si="65"/>
        <v>0</v>
      </c>
      <c r="H50" s="519">
        <f t="shared" si="66"/>
        <v>0</v>
      </c>
      <c r="I50" s="510" t="str">
        <f t="shared" si="67"/>
        <v>Prior</v>
      </c>
      <c r="J50" s="76"/>
      <c r="K50" s="76"/>
      <c r="L50" s="76"/>
      <c r="M50" s="76"/>
      <c r="N50" s="75"/>
      <c r="O50" s="75"/>
      <c r="P50" s="84"/>
      <c r="Q50" s="85"/>
      <c r="R50" s="85"/>
      <c r="S50" s="85"/>
      <c r="T50" s="84"/>
      <c r="U50" s="84"/>
    </row>
    <row r="51" spans="1:21" ht="12.75">
      <c r="A51" s="566">
        <f t="shared" si="61"/>
        <v>0</v>
      </c>
      <c r="B51" s="539">
        <f t="shared" si="63"/>
        <v>0</v>
      </c>
      <c r="C51" s="539">
        <f t="shared" si="62"/>
        <v>0</v>
      </c>
      <c r="D51" s="70"/>
      <c r="E51" s="456">
        <f t="shared" si="64"/>
        <v>0</v>
      </c>
      <c r="F51" s="7"/>
      <c r="G51" s="558">
        <f t="shared" si="65"/>
        <v>0</v>
      </c>
      <c r="H51" s="519">
        <f t="shared" si="66"/>
        <v>0</v>
      </c>
      <c r="I51" s="510" t="str">
        <f t="shared" si="67"/>
        <v>Prior</v>
      </c>
      <c r="J51" s="76"/>
      <c r="K51" s="76"/>
      <c r="L51" s="76"/>
      <c r="M51" s="76"/>
      <c r="N51" s="75"/>
      <c r="O51" s="75"/>
      <c r="P51" s="84"/>
      <c r="Q51" s="85"/>
      <c r="R51" s="85"/>
      <c r="S51" s="85"/>
      <c r="T51" s="84"/>
      <c r="U51" s="84"/>
    </row>
    <row r="52" spans="1:21" ht="12.75">
      <c r="A52" s="566">
        <f t="shared" si="61"/>
        <v>0</v>
      </c>
      <c r="B52" s="539">
        <f>IF(AND(I52="PRIOR",F42&lt;TIME(18,0,0)),0,(A52-C52))</f>
        <v>0</v>
      </c>
      <c r="C52" s="539">
        <f t="shared" si="62"/>
        <v>0</v>
      </c>
      <c r="D52" s="70"/>
      <c r="E52" s="456">
        <f t="shared" si="64"/>
        <v>0</v>
      </c>
      <c r="F52" s="7"/>
      <c r="G52" s="558">
        <f t="shared" si="65"/>
        <v>0</v>
      </c>
      <c r="H52" s="519">
        <f t="shared" si="66"/>
        <v>0</v>
      </c>
      <c r="I52" s="510" t="str">
        <f t="shared" si="67"/>
        <v>Prior</v>
      </c>
      <c r="J52" s="76"/>
      <c r="K52" s="76"/>
      <c r="L52" s="76"/>
      <c r="M52" s="76"/>
      <c r="N52" s="75"/>
      <c r="O52" s="75"/>
      <c r="P52" s="84"/>
      <c r="Q52" s="85"/>
      <c r="R52" s="85"/>
      <c r="S52" s="85"/>
      <c r="T52" s="84"/>
      <c r="U52" s="84"/>
    </row>
    <row r="53" spans="1:21" ht="12.75">
      <c r="A53" s="566">
        <f t="shared" si="61"/>
        <v>0</v>
      </c>
      <c r="B53" s="539">
        <f t="shared" si="63"/>
        <v>0</v>
      </c>
      <c r="C53" s="539">
        <f t="shared" si="62"/>
        <v>0</v>
      </c>
      <c r="D53" s="70"/>
      <c r="E53" s="456">
        <f t="shared" si="64"/>
        <v>0</v>
      </c>
      <c r="F53" s="7"/>
      <c r="G53" s="558">
        <f t="shared" si="65"/>
        <v>0</v>
      </c>
      <c r="H53" s="519">
        <f t="shared" si="66"/>
        <v>0</v>
      </c>
      <c r="I53" s="510" t="str">
        <f t="shared" si="67"/>
        <v>Prior</v>
      </c>
      <c r="J53" s="76"/>
      <c r="K53" s="76"/>
      <c r="L53" s="76"/>
      <c r="M53" s="76"/>
      <c r="N53" s="75"/>
      <c r="O53" s="75"/>
      <c r="P53" s="84"/>
      <c r="Q53" s="85"/>
      <c r="R53" s="85"/>
      <c r="S53" s="85"/>
      <c r="T53" s="84"/>
      <c r="U53" s="84"/>
    </row>
    <row r="54" spans="2:21" ht="12.75">
      <c r="B54" s="495"/>
      <c r="C54" s="495"/>
      <c r="D54" s="495"/>
      <c r="E54" s="495"/>
      <c r="F54" s="469"/>
      <c r="G54" s="74"/>
      <c r="H54" s="74"/>
      <c r="I54" s="75"/>
      <c r="J54" s="76"/>
      <c r="K54" s="76"/>
      <c r="L54" s="76"/>
      <c r="M54" s="76"/>
      <c r="N54" s="75"/>
      <c r="O54" s="75"/>
      <c r="P54" s="84"/>
      <c r="Q54" s="85"/>
      <c r="R54" s="85"/>
      <c r="S54" s="85"/>
      <c r="T54" s="84"/>
      <c r="U54" s="84"/>
    </row>
    <row r="55" spans="2:21" ht="12.75">
      <c r="B55" s="495"/>
      <c r="C55" s="495"/>
      <c r="D55" s="495"/>
      <c r="E55" s="70"/>
      <c r="F55" s="469"/>
      <c r="G55" s="74"/>
      <c r="H55" s="74"/>
      <c r="I55" s="75"/>
      <c r="J55" s="76"/>
      <c r="K55" s="76"/>
      <c r="L55" s="76"/>
      <c r="M55" s="76"/>
      <c r="N55" s="75"/>
      <c r="O55" s="75"/>
      <c r="P55" s="84"/>
      <c r="Q55" s="85"/>
      <c r="R55" s="85"/>
      <c r="S55" s="85"/>
      <c r="T55" s="84"/>
      <c r="U55" s="84"/>
    </row>
    <row r="56" spans="1:21" ht="15">
      <c r="A56" t="s">
        <v>532</v>
      </c>
      <c r="B56" s="557">
        <v>0.75</v>
      </c>
      <c r="C56" s="517"/>
      <c r="D56" s="78"/>
      <c r="E56" s="78"/>
      <c r="F56" s="78"/>
      <c r="G56" s="502"/>
      <c r="H56" s="79"/>
      <c r="I56" s="75"/>
      <c r="J56" s="76"/>
      <c r="K56" s="76"/>
      <c r="L56" s="76"/>
      <c r="M56" s="76"/>
      <c r="N56" s="75"/>
      <c r="O56" s="75"/>
      <c r="P56" s="84"/>
      <c r="Q56" s="85"/>
      <c r="R56" s="85"/>
      <c r="S56" s="85"/>
      <c r="T56" s="84"/>
      <c r="U56" s="84"/>
    </row>
    <row r="57" spans="1:21" ht="15">
      <c r="A57" t="s">
        <v>533</v>
      </c>
      <c r="B57" s="557">
        <v>0.3333333333333333</v>
      </c>
      <c r="C57" s="480"/>
      <c r="D57" s="500"/>
      <c r="E57" s="494"/>
      <c r="F57" s="494"/>
      <c r="H57" s="494"/>
      <c r="I57" s="561"/>
      <c r="J57" s="76"/>
      <c r="K57" s="76"/>
      <c r="L57" s="76"/>
      <c r="M57" s="76"/>
      <c r="N57" s="75"/>
      <c r="O57" s="75"/>
      <c r="P57" s="84"/>
      <c r="Q57" s="85"/>
      <c r="R57" s="85"/>
      <c r="S57" s="85"/>
      <c r="T57" s="84"/>
      <c r="U57" s="84"/>
    </row>
    <row r="58" spans="2:21" ht="14.25">
      <c r="B58" s="494"/>
      <c r="C58" s="499"/>
      <c r="D58" s="494"/>
      <c r="E58" s="494"/>
      <c r="F58" s="456"/>
      <c r="G58" s="503"/>
      <c r="H58" s="494"/>
      <c r="I58" s="75"/>
      <c r="J58" s="76"/>
      <c r="K58" s="76"/>
      <c r="L58" s="76"/>
      <c r="M58" s="76"/>
      <c r="N58" s="75"/>
      <c r="O58" s="75"/>
      <c r="P58" s="84"/>
      <c r="Q58" s="85"/>
      <c r="R58" s="85"/>
      <c r="S58" s="85"/>
      <c r="T58" s="84"/>
      <c r="U58" s="84"/>
    </row>
    <row r="59" spans="2:21" ht="12.75">
      <c r="B59" s="564"/>
      <c r="C59" s="70"/>
      <c r="D59" s="494"/>
      <c r="E59" s="494"/>
      <c r="F59" s="494"/>
      <c r="G59" s="70"/>
      <c r="H59" s="494"/>
      <c r="I59" s="75"/>
      <c r="J59" s="76"/>
      <c r="K59" s="76"/>
      <c r="L59" s="76"/>
      <c r="M59" s="76"/>
      <c r="N59" s="75"/>
      <c r="O59" s="75"/>
      <c r="P59" s="84"/>
      <c r="Q59" s="85"/>
      <c r="R59" s="85"/>
      <c r="S59" s="85"/>
      <c r="T59" s="84"/>
      <c r="U59" s="84"/>
    </row>
    <row r="60" spans="2:21" ht="12.75">
      <c r="B60" s="494"/>
      <c r="C60" s="70"/>
      <c r="D60" s="456"/>
      <c r="E60" s="555"/>
      <c r="F60" s="494"/>
      <c r="G60" s="494"/>
      <c r="H60" s="494"/>
      <c r="I60" s="75"/>
      <c r="J60" s="76"/>
      <c r="K60" s="76"/>
      <c r="L60" s="76"/>
      <c r="M60" s="76"/>
      <c r="N60" s="75"/>
      <c r="O60" s="75"/>
      <c r="P60" s="84"/>
      <c r="Q60" s="85"/>
      <c r="R60" s="85"/>
      <c r="S60" s="85"/>
      <c r="T60" s="84"/>
      <c r="U60" s="84"/>
    </row>
    <row r="61" spans="1:21" ht="14.25">
      <c r="A61" s="7"/>
      <c r="B61" s="494"/>
      <c r="C61" s="501"/>
      <c r="D61" s="494"/>
      <c r="E61" s="494"/>
      <c r="F61" s="494"/>
      <c r="G61" s="494"/>
      <c r="H61" s="494"/>
      <c r="I61" s="75"/>
      <c r="J61" s="76"/>
      <c r="K61" s="76"/>
      <c r="L61" s="76"/>
      <c r="M61" s="76"/>
      <c r="N61" s="75"/>
      <c r="O61" s="75"/>
      <c r="P61" s="84"/>
      <c r="Q61" s="85"/>
      <c r="R61" s="85"/>
      <c r="S61" s="85"/>
      <c r="T61" s="84"/>
      <c r="U61" s="84"/>
    </row>
    <row r="62" spans="2:21" ht="12.75">
      <c r="B62" s="494"/>
      <c r="C62" s="494"/>
      <c r="D62" s="494"/>
      <c r="E62" s="494"/>
      <c r="F62" s="494"/>
      <c r="G62" s="494"/>
      <c r="H62" s="494"/>
      <c r="I62" s="75"/>
      <c r="J62" s="76"/>
      <c r="K62" s="76"/>
      <c r="L62" s="76"/>
      <c r="M62" s="76"/>
      <c r="N62" s="75"/>
      <c r="O62" s="75"/>
      <c r="P62" s="84"/>
      <c r="Q62" s="85"/>
      <c r="R62" s="85"/>
      <c r="S62" s="85"/>
      <c r="T62" s="84"/>
      <c r="U62" s="84"/>
    </row>
    <row r="63" spans="2:21" ht="12.75">
      <c r="B63" s="494"/>
      <c r="C63" s="494"/>
      <c r="D63" s="494"/>
      <c r="E63" s="494"/>
      <c r="F63" s="494"/>
      <c r="G63" s="494"/>
      <c r="H63" s="494"/>
      <c r="I63" s="75"/>
      <c r="J63" s="76"/>
      <c r="K63" s="76"/>
      <c r="L63" s="76"/>
      <c r="M63" s="76"/>
      <c r="N63" s="75"/>
      <c r="O63" s="75"/>
      <c r="P63" s="84"/>
      <c r="Q63" s="85"/>
      <c r="R63" s="85"/>
      <c r="S63" s="85"/>
      <c r="T63" s="84"/>
      <c r="U63" s="84"/>
    </row>
    <row r="64" spans="1:21" ht="15">
      <c r="A64" s="44" t="s">
        <v>534</v>
      </c>
      <c r="B64" s="495"/>
      <c r="C64" s="495"/>
      <c r="D64" s="495"/>
      <c r="E64" s="495"/>
      <c r="F64" s="469"/>
      <c r="G64" s="74"/>
      <c r="H64" s="74"/>
      <c r="I64" s="75"/>
      <c r="J64" s="76"/>
      <c r="K64" s="76"/>
      <c r="L64" s="76"/>
      <c r="M64" s="76"/>
      <c r="N64" s="75"/>
      <c r="O64" s="75"/>
      <c r="P64" s="84"/>
      <c r="Q64" s="85"/>
      <c r="R64" s="85"/>
      <c r="S64" s="85"/>
      <c r="T64" s="84"/>
      <c r="U64" s="84"/>
    </row>
    <row r="65" spans="2:21" ht="12.75">
      <c r="B65" s="495"/>
      <c r="C65" s="495"/>
      <c r="D65" s="495"/>
      <c r="E65" s="495"/>
      <c r="F65" s="469"/>
      <c r="G65" s="74"/>
      <c r="H65" s="74"/>
      <c r="I65" s="75"/>
      <c r="J65" s="76"/>
      <c r="K65" s="76"/>
      <c r="L65" s="76"/>
      <c r="M65" s="76"/>
      <c r="N65" s="75"/>
      <c r="O65" s="75"/>
      <c r="P65" s="84"/>
      <c r="Q65" s="85"/>
      <c r="R65" s="85"/>
      <c r="S65" s="85"/>
      <c r="T65" s="84"/>
      <c r="U65" s="84"/>
    </row>
    <row r="66" spans="2:5" s="451" customFormat="1" ht="12.75">
      <c r="B66" s="452"/>
      <c r="C66" s="452"/>
      <c r="D66" s="452"/>
      <c r="E66" s="452"/>
    </row>
    <row r="67" spans="2:5" s="451" customFormat="1" ht="12.75">
      <c r="B67" s="452"/>
      <c r="C67" s="452"/>
      <c r="D67" s="452"/>
      <c r="E67" s="452"/>
    </row>
    <row r="68" spans="1:5" s="451" customFormat="1" ht="12.75">
      <c r="A68" s="451" t="s">
        <v>469</v>
      </c>
      <c r="B68" s="478" t="s">
        <v>470</v>
      </c>
      <c r="C68" s="452"/>
      <c r="D68" s="452"/>
      <c r="E68" s="452"/>
    </row>
    <row r="69" spans="1:5" s="451" customFormat="1" ht="12.75">
      <c r="A69" s="451" t="s">
        <v>471</v>
      </c>
      <c r="B69" s="479" t="s">
        <v>477</v>
      </c>
      <c r="C69" s="452"/>
      <c r="D69" s="472"/>
      <c r="E69" s="452"/>
    </row>
    <row r="70" spans="1:5" s="451" customFormat="1" ht="12.75">
      <c r="A70" s="451" t="s">
        <v>472</v>
      </c>
      <c r="B70" s="478" t="s">
        <v>478</v>
      </c>
      <c r="C70" s="452"/>
      <c r="D70" s="452"/>
      <c r="E70" s="452"/>
    </row>
    <row r="71" spans="1:5" s="451" customFormat="1" ht="12.75">
      <c r="A71" s="451" t="s">
        <v>473</v>
      </c>
      <c r="B71" s="478" t="s">
        <v>479</v>
      </c>
      <c r="C71" s="452"/>
      <c r="D71" s="452"/>
      <c r="E71" s="452"/>
    </row>
    <row r="72" spans="1:5" s="451" customFormat="1" ht="12.75">
      <c r="A72" s="451" t="s">
        <v>474</v>
      </c>
      <c r="B72" s="478" t="s">
        <v>480</v>
      </c>
      <c r="C72" s="452"/>
      <c r="D72" s="452"/>
      <c r="E72" s="452"/>
    </row>
    <row r="73" spans="1:5" s="451" customFormat="1" ht="12.75">
      <c r="A73" s="451" t="s">
        <v>475</v>
      </c>
      <c r="B73" s="478" t="s">
        <v>481</v>
      </c>
      <c r="C73" s="452"/>
      <c r="D73" s="452"/>
      <c r="E73" s="452"/>
    </row>
    <row r="74" spans="1:11" s="451" customFormat="1" ht="15">
      <c r="A74" s="470" t="s">
        <v>476</v>
      </c>
      <c r="B74" s="526" t="s">
        <v>523</v>
      </c>
      <c r="C74" s="471"/>
      <c r="D74" s="471"/>
      <c r="E74" s="472"/>
      <c r="J74" s="480"/>
      <c r="K74" s="480"/>
    </row>
    <row r="75" spans="1:5" s="451" customFormat="1" ht="12.75">
      <c r="A75" s="496" t="s">
        <v>492</v>
      </c>
      <c r="B75" s="478"/>
      <c r="C75" s="452"/>
      <c r="D75" s="452"/>
      <c r="E75" s="452"/>
    </row>
    <row r="76" spans="1:5" s="451" customFormat="1" ht="15">
      <c r="A76" s="451" t="s">
        <v>499</v>
      </c>
      <c r="B76" s="44" t="s">
        <v>534</v>
      </c>
      <c r="C76" s="452"/>
      <c r="D76" s="452"/>
      <c r="E76" s="452"/>
    </row>
    <row r="77" spans="2:11" s="451" customFormat="1" ht="12.75">
      <c r="B77" s="478"/>
      <c r="C77" s="452"/>
      <c r="D77" s="452"/>
      <c r="E77" s="452"/>
      <c r="J77" s="481"/>
      <c r="K77" s="481"/>
    </row>
    <row r="78" spans="2:5" s="451" customFormat="1" ht="12.75">
      <c r="B78" s="560" t="s">
        <v>516</v>
      </c>
      <c r="C78" s="452"/>
      <c r="D78" s="452"/>
      <c r="E78" s="452"/>
    </row>
    <row r="79" spans="2:5" s="451" customFormat="1" ht="12.75">
      <c r="B79" s="503"/>
      <c r="C79" s="452"/>
      <c r="D79" s="452"/>
      <c r="E79" s="452"/>
    </row>
    <row r="80" spans="2:5" s="451" customFormat="1" ht="12.75">
      <c r="B80" s="452"/>
      <c r="C80" s="452"/>
      <c r="D80" s="452"/>
      <c r="E80" s="452"/>
    </row>
    <row r="81" spans="2:5" s="451" customFormat="1" ht="12.75">
      <c r="B81" s="452"/>
      <c r="C81" s="452"/>
      <c r="D81" s="452"/>
      <c r="E81" s="452"/>
    </row>
    <row r="82" spans="2:5" s="451" customFormat="1" ht="12.75">
      <c r="B82" s="452"/>
      <c r="C82" s="452"/>
      <c r="D82" s="452"/>
      <c r="E82" s="452"/>
    </row>
    <row r="83" spans="2:5" s="451" customFormat="1" ht="12.75">
      <c r="B83" s="452"/>
      <c r="C83" s="452"/>
      <c r="D83" s="452"/>
      <c r="E83" s="452"/>
    </row>
    <row r="84" spans="2:5" s="451" customFormat="1" ht="12.75">
      <c r="B84" s="452"/>
      <c r="C84" s="452"/>
      <c r="D84" s="452"/>
      <c r="E84" s="452"/>
    </row>
    <row r="85" spans="2:5" s="451" customFormat="1" ht="12.75">
      <c r="B85" s="452"/>
      <c r="C85" s="452"/>
      <c r="D85" s="452"/>
      <c r="E85" s="452"/>
    </row>
    <row r="86" spans="2:5" s="451" customFormat="1" ht="12.75">
      <c r="B86" s="452"/>
      <c r="C86" s="452"/>
      <c r="D86" s="452"/>
      <c r="E86" s="452"/>
    </row>
    <row r="87" spans="2:5" s="451" customFormat="1" ht="12.75">
      <c r="B87" s="452"/>
      <c r="C87" s="452"/>
      <c r="D87" s="452"/>
      <c r="E87" s="452"/>
    </row>
    <row r="88" spans="2:5" s="451" customFormat="1" ht="12.75">
      <c r="B88" s="452"/>
      <c r="C88" s="452"/>
      <c r="D88" s="452"/>
      <c r="E88" s="452"/>
    </row>
  </sheetData>
  <sheetProtection password="E508" sheet="1" objects="1" scenarios="1" selectLockedCells="1"/>
  <mergeCells count="3">
    <mergeCell ref="B9:N10"/>
    <mergeCell ref="B20:N21"/>
    <mergeCell ref="B24:N2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B56:B57">
      <formula1>0</formula1>
      <formula2>0.9993055555555556</formula2>
    </dataValidation>
  </dataValidations>
  <printOptions/>
  <pageMargins left="0.7" right="0.7" top="0.75" bottom="0.75" header="0.3" footer="0.3"/>
  <pageSetup horizontalDpi="600" verticalDpi="600" orientation="portrait" r:id="rId1"/>
  <ignoredErrors>
    <ignoredError sqref="P39 Q39:U39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4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8515625" style="11" customWidth="1"/>
    <col min="2" max="2" width="20.140625" style="0" customWidth="1"/>
    <col min="3" max="3" width="18.7109375" style="0" customWidth="1"/>
    <col min="4" max="4" width="25.28125" style="0" customWidth="1"/>
    <col min="5" max="6" width="28.7109375" style="0" customWidth="1"/>
    <col min="7" max="7" width="18.421875" style="0" customWidth="1"/>
    <col min="8" max="8" width="38.140625" style="0" customWidth="1"/>
    <col min="9" max="9" width="18.140625" style="0" customWidth="1"/>
  </cols>
  <sheetData>
    <row r="1" spans="3:4" ht="14.25">
      <c r="C1" s="26"/>
      <c r="D1" s="26"/>
    </row>
    <row r="2" ht="14.25">
      <c r="A2" s="575" t="s">
        <v>545</v>
      </c>
    </row>
    <row r="3" spans="1:4" ht="18">
      <c r="A3" s="14" t="s">
        <v>111</v>
      </c>
      <c r="B3" s="22">
        <v>44556</v>
      </c>
      <c r="C3" s="7" t="s">
        <v>539</v>
      </c>
      <c r="D3" s="7" t="s">
        <v>540</v>
      </c>
    </row>
    <row r="4" spans="1:9" ht="17.25" thickBot="1">
      <c r="A4" s="17"/>
      <c r="B4" s="15"/>
      <c r="C4" s="16"/>
      <c r="D4" s="16"/>
      <c r="E4" s="17" t="s">
        <v>115</v>
      </c>
      <c r="F4" s="15"/>
      <c r="H4" s="67"/>
      <c r="I4" s="67"/>
    </row>
    <row r="5" spans="1:9" ht="17.25" thickBot="1">
      <c r="A5" s="20" t="s">
        <v>114</v>
      </c>
      <c r="B5" s="18" t="s">
        <v>112</v>
      </c>
      <c r="C5" s="19" t="s">
        <v>113</v>
      </c>
      <c r="D5" s="19" t="s">
        <v>148</v>
      </c>
      <c r="E5" s="20" t="s">
        <v>156</v>
      </c>
      <c r="F5" s="21" t="s">
        <v>157</v>
      </c>
      <c r="G5" s="21" t="s">
        <v>223</v>
      </c>
      <c r="H5" s="67"/>
      <c r="I5" s="67"/>
    </row>
    <row r="6" spans="1:9" ht="15">
      <c r="A6" s="37" t="s">
        <v>161</v>
      </c>
      <c r="B6" s="38"/>
      <c r="C6" s="39"/>
      <c r="D6" s="39"/>
      <c r="E6" s="37"/>
      <c r="F6" s="38"/>
      <c r="H6" s="31"/>
      <c r="I6" s="31"/>
    </row>
    <row r="7" spans="1:7" ht="15">
      <c r="A7" s="60" t="str">
        <f aca="true" t="shared" si="0" ref="A7:A38">CONCATENATE(TEXT(B7,"mmm-dd-yyyy")," - ",(TEXT(C7,"mmm-dd-yyyy")))</f>
        <v>Dec-26-2021 - Jan-08-2022</v>
      </c>
      <c r="B7" s="41">
        <f>B3</f>
        <v>44556</v>
      </c>
      <c r="C7" s="41">
        <f>B7+13</f>
        <v>44569</v>
      </c>
      <c r="D7" s="42">
        <f>C7+13</f>
        <v>44582</v>
      </c>
      <c r="E7" s="42">
        <f aca="true" t="shared" si="1" ref="E7:E38">C7+2</f>
        <v>44571</v>
      </c>
      <c r="F7" s="42">
        <f>E7+1</f>
        <v>44572</v>
      </c>
      <c r="G7" s="68">
        <v>1</v>
      </c>
    </row>
    <row r="8" spans="1:8" ht="15" customHeight="1">
      <c r="A8" s="60" t="str">
        <f t="shared" si="0"/>
        <v>Jan-09-2022 - Jan-22-2022</v>
      </c>
      <c r="B8" s="41">
        <f>B7+14</f>
        <v>44570</v>
      </c>
      <c r="C8" s="41">
        <f aca="true" t="shared" si="2" ref="C8:C61">B8+13</f>
        <v>44583</v>
      </c>
      <c r="D8" s="42">
        <f aca="true" t="shared" si="3" ref="D8:D61">C8+13</f>
        <v>44596</v>
      </c>
      <c r="E8" s="42">
        <f t="shared" si="1"/>
        <v>44585</v>
      </c>
      <c r="F8" s="42">
        <f aca="true" t="shared" si="4" ref="F8:F61">E8+1</f>
        <v>44586</v>
      </c>
      <c r="G8" s="68">
        <v>3</v>
      </c>
      <c r="H8" s="28"/>
    </row>
    <row r="9" spans="1:7" ht="15">
      <c r="A9" s="60" t="str">
        <f t="shared" si="0"/>
        <v>Jan-23-2022 - Feb-05-2022</v>
      </c>
      <c r="B9" s="41">
        <f aca="true" t="shared" si="5" ref="B9:B74">B8+14</f>
        <v>44584</v>
      </c>
      <c r="C9" s="41">
        <f t="shared" si="2"/>
        <v>44597</v>
      </c>
      <c r="D9" s="42">
        <f t="shared" si="3"/>
        <v>44610</v>
      </c>
      <c r="E9" s="42">
        <f t="shared" si="1"/>
        <v>44599</v>
      </c>
      <c r="F9" s="42">
        <f t="shared" si="4"/>
        <v>44600</v>
      </c>
      <c r="G9" s="68">
        <v>5</v>
      </c>
    </row>
    <row r="10" spans="1:8" ht="15">
      <c r="A10" s="60" t="str">
        <f t="shared" si="0"/>
        <v>Feb-06-2022 - Feb-19-2022</v>
      </c>
      <c r="B10" s="41">
        <f t="shared" si="5"/>
        <v>44598</v>
      </c>
      <c r="C10" s="41">
        <f t="shared" si="2"/>
        <v>44611</v>
      </c>
      <c r="D10" s="42">
        <f t="shared" si="3"/>
        <v>44624</v>
      </c>
      <c r="E10" s="42">
        <f t="shared" si="1"/>
        <v>44613</v>
      </c>
      <c r="F10" s="42">
        <f t="shared" si="4"/>
        <v>44614</v>
      </c>
      <c r="G10" s="68">
        <v>7</v>
      </c>
      <c r="H10" s="29"/>
    </row>
    <row r="11" spans="1:8" ht="15">
      <c r="A11" s="60" t="str">
        <f t="shared" si="0"/>
        <v>Feb-20-2022 - Mar-05-2022</v>
      </c>
      <c r="B11" s="41">
        <f t="shared" si="5"/>
        <v>44612</v>
      </c>
      <c r="C11" s="41">
        <f t="shared" si="2"/>
        <v>44625</v>
      </c>
      <c r="D11" s="42">
        <f t="shared" si="3"/>
        <v>44638</v>
      </c>
      <c r="E11" s="42">
        <f t="shared" si="1"/>
        <v>44627</v>
      </c>
      <c r="F11" s="42">
        <f t="shared" si="4"/>
        <v>44628</v>
      </c>
      <c r="G11" s="68">
        <v>9</v>
      </c>
      <c r="H11" s="30"/>
    </row>
    <row r="12" spans="1:8" ht="15">
      <c r="A12" s="60" t="str">
        <f t="shared" si="0"/>
        <v>Mar-06-2022 - Mar-19-2022</v>
      </c>
      <c r="B12" s="41">
        <f t="shared" si="5"/>
        <v>44626</v>
      </c>
      <c r="C12" s="41">
        <f t="shared" si="2"/>
        <v>44639</v>
      </c>
      <c r="D12" s="42">
        <f t="shared" si="3"/>
        <v>44652</v>
      </c>
      <c r="E12" s="42">
        <f t="shared" si="1"/>
        <v>44641</v>
      </c>
      <c r="F12" s="42">
        <f t="shared" si="4"/>
        <v>44642</v>
      </c>
      <c r="G12" s="68">
        <v>11</v>
      </c>
      <c r="H12" s="29"/>
    </row>
    <row r="13" spans="1:8" ht="15">
      <c r="A13" s="60" t="str">
        <f t="shared" si="0"/>
        <v>Mar-20-2022 - Apr-02-2022</v>
      </c>
      <c r="B13" s="41">
        <f t="shared" si="5"/>
        <v>44640</v>
      </c>
      <c r="C13" s="41">
        <f t="shared" si="2"/>
        <v>44653</v>
      </c>
      <c r="D13" s="42">
        <f t="shared" si="3"/>
        <v>44666</v>
      </c>
      <c r="E13" s="42">
        <f t="shared" si="1"/>
        <v>44655</v>
      </c>
      <c r="F13" s="42">
        <f t="shared" si="4"/>
        <v>44656</v>
      </c>
      <c r="G13" s="68">
        <v>13</v>
      </c>
      <c r="H13" s="29"/>
    </row>
    <row r="14" spans="1:8" ht="15">
      <c r="A14" s="60" t="str">
        <f t="shared" si="0"/>
        <v>Apr-03-2022 - Apr-16-2022</v>
      </c>
      <c r="B14" s="41">
        <f t="shared" si="5"/>
        <v>44654</v>
      </c>
      <c r="C14" s="41">
        <f t="shared" si="2"/>
        <v>44667</v>
      </c>
      <c r="D14" s="42">
        <f t="shared" si="3"/>
        <v>44680</v>
      </c>
      <c r="E14" s="42">
        <f t="shared" si="1"/>
        <v>44669</v>
      </c>
      <c r="F14" s="42">
        <f t="shared" si="4"/>
        <v>44670</v>
      </c>
      <c r="G14" s="68">
        <v>15</v>
      </c>
      <c r="H14" s="29"/>
    </row>
    <row r="15" spans="1:8" ht="15">
      <c r="A15" s="60" t="str">
        <f t="shared" si="0"/>
        <v>Apr-17-2022 - Apr-30-2022</v>
      </c>
      <c r="B15" s="41">
        <f t="shared" si="5"/>
        <v>44668</v>
      </c>
      <c r="C15" s="41">
        <f t="shared" si="2"/>
        <v>44681</v>
      </c>
      <c r="D15" s="42">
        <f t="shared" si="3"/>
        <v>44694</v>
      </c>
      <c r="E15" s="42">
        <f t="shared" si="1"/>
        <v>44683</v>
      </c>
      <c r="F15" s="42">
        <f t="shared" si="4"/>
        <v>44684</v>
      </c>
      <c r="G15" s="68">
        <v>17</v>
      </c>
      <c r="H15" s="29"/>
    </row>
    <row r="16" spans="1:8" ht="15">
      <c r="A16" s="60" t="str">
        <f t="shared" si="0"/>
        <v>May-01-2022 - May-14-2022</v>
      </c>
      <c r="B16" s="41">
        <f t="shared" si="5"/>
        <v>44682</v>
      </c>
      <c r="C16" s="41">
        <f t="shared" si="2"/>
        <v>44695</v>
      </c>
      <c r="D16" s="42">
        <f t="shared" si="3"/>
        <v>44708</v>
      </c>
      <c r="E16" s="42">
        <f t="shared" si="1"/>
        <v>44697</v>
      </c>
      <c r="F16" s="42">
        <f t="shared" si="4"/>
        <v>44698</v>
      </c>
      <c r="G16" s="68">
        <v>19</v>
      </c>
      <c r="H16" s="29"/>
    </row>
    <row r="17" spans="1:8" ht="15">
      <c r="A17" s="60" t="str">
        <f t="shared" si="0"/>
        <v>May-15-2022 - May-28-2022</v>
      </c>
      <c r="B17" s="41">
        <f t="shared" si="5"/>
        <v>44696</v>
      </c>
      <c r="C17" s="41">
        <f t="shared" si="2"/>
        <v>44709</v>
      </c>
      <c r="D17" s="42">
        <f t="shared" si="3"/>
        <v>44722</v>
      </c>
      <c r="E17" s="42">
        <f t="shared" si="1"/>
        <v>44711</v>
      </c>
      <c r="F17" s="42">
        <f t="shared" si="4"/>
        <v>44712</v>
      </c>
      <c r="G17" s="68">
        <v>21</v>
      </c>
      <c r="H17" s="29"/>
    </row>
    <row r="18" spans="1:8" ht="15">
      <c r="A18" s="60" t="str">
        <f t="shared" si="0"/>
        <v>May-29-2022 - Jun-11-2022</v>
      </c>
      <c r="B18" s="41">
        <f>B17+14</f>
        <v>44710</v>
      </c>
      <c r="C18" s="41">
        <f t="shared" si="2"/>
        <v>44723</v>
      </c>
      <c r="D18" s="42">
        <f t="shared" si="3"/>
        <v>44736</v>
      </c>
      <c r="E18" s="42">
        <f t="shared" si="1"/>
        <v>44725</v>
      </c>
      <c r="F18" s="42">
        <f t="shared" si="4"/>
        <v>44726</v>
      </c>
      <c r="G18" s="68">
        <v>23</v>
      </c>
      <c r="H18" s="29"/>
    </row>
    <row r="19" spans="1:8" ht="15">
      <c r="A19" s="60" t="str">
        <f t="shared" si="0"/>
        <v>Jun-12-2022 - Jun-25-2022</v>
      </c>
      <c r="B19" s="41">
        <f t="shared" si="5"/>
        <v>44724</v>
      </c>
      <c r="C19" s="41">
        <f t="shared" si="2"/>
        <v>44737</v>
      </c>
      <c r="D19" s="42">
        <f t="shared" si="3"/>
        <v>44750</v>
      </c>
      <c r="E19" s="42">
        <f t="shared" si="1"/>
        <v>44739</v>
      </c>
      <c r="F19" s="42">
        <f t="shared" si="4"/>
        <v>44740</v>
      </c>
      <c r="G19" s="68">
        <v>25</v>
      </c>
      <c r="H19" s="29"/>
    </row>
    <row r="20" spans="1:8" ht="15">
      <c r="A20" s="60" t="str">
        <f t="shared" si="0"/>
        <v>Jun-26-2022 - Jul-09-2022</v>
      </c>
      <c r="B20" s="41">
        <f t="shared" si="5"/>
        <v>44738</v>
      </c>
      <c r="C20" s="41">
        <f t="shared" si="2"/>
        <v>44751</v>
      </c>
      <c r="D20" s="42">
        <f t="shared" si="3"/>
        <v>44764</v>
      </c>
      <c r="E20" s="42">
        <f t="shared" si="1"/>
        <v>44753</v>
      </c>
      <c r="F20" s="42">
        <f t="shared" si="4"/>
        <v>44754</v>
      </c>
      <c r="G20" s="68">
        <v>27</v>
      </c>
      <c r="H20" s="29"/>
    </row>
    <row r="21" spans="1:8" ht="15">
      <c r="A21" s="60" t="str">
        <f t="shared" si="0"/>
        <v>Jul-10-2022 - Jul-23-2022</v>
      </c>
      <c r="B21" s="41">
        <f t="shared" si="5"/>
        <v>44752</v>
      </c>
      <c r="C21" s="41">
        <f t="shared" si="2"/>
        <v>44765</v>
      </c>
      <c r="D21" s="42">
        <f t="shared" si="3"/>
        <v>44778</v>
      </c>
      <c r="E21" s="42">
        <f t="shared" si="1"/>
        <v>44767</v>
      </c>
      <c r="F21" s="42">
        <f t="shared" si="4"/>
        <v>44768</v>
      </c>
      <c r="G21" s="68">
        <v>29</v>
      </c>
      <c r="H21" s="29"/>
    </row>
    <row r="22" spans="1:8" ht="15">
      <c r="A22" s="60" t="str">
        <f t="shared" si="0"/>
        <v>Jul-24-2022 - Aug-06-2022</v>
      </c>
      <c r="B22" s="41">
        <f t="shared" si="5"/>
        <v>44766</v>
      </c>
      <c r="C22" s="41">
        <f t="shared" si="2"/>
        <v>44779</v>
      </c>
      <c r="D22" s="42">
        <f t="shared" si="3"/>
        <v>44792</v>
      </c>
      <c r="E22" s="42">
        <f t="shared" si="1"/>
        <v>44781</v>
      </c>
      <c r="F22" s="42">
        <f t="shared" si="4"/>
        <v>44782</v>
      </c>
      <c r="G22" s="68">
        <v>31</v>
      </c>
      <c r="H22" s="29"/>
    </row>
    <row r="23" spans="1:8" ht="15">
      <c r="A23" s="60" t="str">
        <f t="shared" si="0"/>
        <v>Aug-07-2022 - Aug-20-2022</v>
      </c>
      <c r="B23" s="41">
        <f t="shared" si="5"/>
        <v>44780</v>
      </c>
      <c r="C23" s="41">
        <f t="shared" si="2"/>
        <v>44793</v>
      </c>
      <c r="D23" s="42">
        <f t="shared" si="3"/>
        <v>44806</v>
      </c>
      <c r="E23" s="42">
        <f t="shared" si="1"/>
        <v>44795</v>
      </c>
      <c r="F23" s="42">
        <f t="shared" si="4"/>
        <v>44796</v>
      </c>
      <c r="G23" s="68">
        <v>33</v>
      </c>
      <c r="H23" s="29"/>
    </row>
    <row r="24" spans="1:8" ht="15">
      <c r="A24" s="60" t="str">
        <f t="shared" si="0"/>
        <v>Aug-21-2022 - Sep-03-2022</v>
      </c>
      <c r="B24" s="41">
        <f t="shared" si="5"/>
        <v>44794</v>
      </c>
      <c r="C24" s="41">
        <f t="shared" si="2"/>
        <v>44807</v>
      </c>
      <c r="D24" s="42">
        <f t="shared" si="3"/>
        <v>44820</v>
      </c>
      <c r="E24" s="42">
        <f t="shared" si="1"/>
        <v>44809</v>
      </c>
      <c r="F24" s="42">
        <f t="shared" si="4"/>
        <v>44810</v>
      </c>
      <c r="G24" s="68">
        <v>35</v>
      </c>
      <c r="H24" s="29"/>
    </row>
    <row r="25" spans="1:8" ht="15">
      <c r="A25" s="60" t="str">
        <f t="shared" si="0"/>
        <v>Sep-04-2022 - Sep-17-2022</v>
      </c>
      <c r="B25" s="41">
        <f t="shared" si="5"/>
        <v>44808</v>
      </c>
      <c r="C25" s="41">
        <f t="shared" si="2"/>
        <v>44821</v>
      </c>
      <c r="D25" s="42">
        <f t="shared" si="3"/>
        <v>44834</v>
      </c>
      <c r="E25" s="42">
        <f t="shared" si="1"/>
        <v>44823</v>
      </c>
      <c r="F25" s="42">
        <f t="shared" si="4"/>
        <v>44824</v>
      </c>
      <c r="G25" s="68">
        <v>37</v>
      </c>
      <c r="H25" s="29"/>
    </row>
    <row r="26" spans="1:8" ht="15">
      <c r="A26" s="60" t="str">
        <f t="shared" si="0"/>
        <v>Sep-18-2022 - Oct-01-2022</v>
      </c>
      <c r="B26" s="41">
        <f t="shared" si="5"/>
        <v>44822</v>
      </c>
      <c r="C26" s="41">
        <f t="shared" si="2"/>
        <v>44835</v>
      </c>
      <c r="D26" s="42">
        <f t="shared" si="3"/>
        <v>44848</v>
      </c>
      <c r="E26" s="42">
        <f t="shared" si="1"/>
        <v>44837</v>
      </c>
      <c r="F26" s="42">
        <f t="shared" si="4"/>
        <v>44838</v>
      </c>
      <c r="G26" s="68">
        <v>39</v>
      </c>
      <c r="H26" s="29"/>
    </row>
    <row r="27" spans="1:8" ht="15">
      <c r="A27" s="60" t="str">
        <f t="shared" si="0"/>
        <v>Oct-02-2022 - Oct-15-2022</v>
      </c>
      <c r="B27" s="41">
        <f t="shared" si="5"/>
        <v>44836</v>
      </c>
      <c r="C27" s="41">
        <f t="shared" si="2"/>
        <v>44849</v>
      </c>
      <c r="D27" s="42">
        <f t="shared" si="3"/>
        <v>44862</v>
      </c>
      <c r="E27" s="42">
        <f t="shared" si="1"/>
        <v>44851</v>
      </c>
      <c r="F27" s="42">
        <f t="shared" si="4"/>
        <v>44852</v>
      </c>
      <c r="G27" s="68">
        <v>41</v>
      </c>
      <c r="H27" s="29"/>
    </row>
    <row r="28" spans="1:8" ht="15">
      <c r="A28" s="60" t="str">
        <f t="shared" si="0"/>
        <v>Oct-16-2022 - Oct-29-2022</v>
      </c>
      <c r="B28" s="41">
        <f t="shared" si="5"/>
        <v>44850</v>
      </c>
      <c r="C28" s="41">
        <f t="shared" si="2"/>
        <v>44863</v>
      </c>
      <c r="D28" s="42">
        <f t="shared" si="3"/>
        <v>44876</v>
      </c>
      <c r="E28" s="42">
        <f t="shared" si="1"/>
        <v>44865</v>
      </c>
      <c r="F28" s="42">
        <f t="shared" si="4"/>
        <v>44866</v>
      </c>
      <c r="G28" s="68">
        <v>43</v>
      </c>
      <c r="H28" s="29"/>
    </row>
    <row r="29" spans="1:7" ht="15">
      <c r="A29" s="60" t="str">
        <f t="shared" si="0"/>
        <v>Oct-30-2022 - Nov-12-2022</v>
      </c>
      <c r="B29" s="41">
        <f t="shared" si="5"/>
        <v>44864</v>
      </c>
      <c r="C29" s="41">
        <f t="shared" si="2"/>
        <v>44877</v>
      </c>
      <c r="D29" s="42">
        <f t="shared" si="3"/>
        <v>44890</v>
      </c>
      <c r="E29" s="42">
        <f t="shared" si="1"/>
        <v>44879</v>
      </c>
      <c r="F29" s="42">
        <f t="shared" si="4"/>
        <v>44880</v>
      </c>
      <c r="G29" s="68">
        <v>45</v>
      </c>
    </row>
    <row r="30" spans="1:7" ht="15">
      <c r="A30" s="60" t="str">
        <f t="shared" si="0"/>
        <v>Nov-13-2022 - Nov-26-2022</v>
      </c>
      <c r="B30" s="41">
        <f t="shared" si="5"/>
        <v>44878</v>
      </c>
      <c r="C30" s="41">
        <f t="shared" si="2"/>
        <v>44891</v>
      </c>
      <c r="D30" s="42">
        <f t="shared" si="3"/>
        <v>44904</v>
      </c>
      <c r="E30" s="42">
        <f t="shared" si="1"/>
        <v>44893</v>
      </c>
      <c r="F30" s="42">
        <f t="shared" si="4"/>
        <v>44894</v>
      </c>
      <c r="G30" s="68">
        <v>47</v>
      </c>
    </row>
    <row r="31" spans="1:7" ht="15">
      <c r="A31" s="60" t="str">
        <f t="shared" si="0"/>
        <v>Nov-27-2022 - Dec-10-2022</v>
      </c>
      <c r="B31" s="41">
        <f>B30+14</f>
        <v>44892</v>
      </c>
      <c r="C31" s="41">
        <f t="shared" si="2"/>
        <v>44905</v>
      </c>
      <c r="D31" s="42">
        <f t="shared" si="3"/>
        <v>44918</v>
      </c>
      <c r="E31" s="42">
        <f t="shared" si="1"/>
        <v>44907</v>
      </c>
      <c r="F31" s="42">
        <f t="shared" si="4"/>
        <v>44908</v>
      </c>
      <c r="G31" s="68">
        <v>49</v>
      </c>
    </row>
    <row r="32" spans="1:7" ht="15">
      <c r="A32" s="60" t="str">
        <f t="shared" si="0"/>
        <v>Dec-11-2022 - Dec-24-2022</v>
      </c>
      <c r="B32" s="41">
        <f t="shared" si="5"/>
        <v>44906</v>
      </c>
      <c r="C32" s="41">
        <f t="shared" si="2"/>
        <v>44919</v>
      </c>
      <c r="D32" s="42">
        <f t="shared" si="3"/>
        <v>44932</v>
      </c>
      <c r="E32" s="42">
        <f t="shared" si="1"/>
        <v>44921</v>
      </c>
      <c r="F32" s="42">
        <f t="shared" si="4"/>
        <v>44922</v>
      </c>
      <c r="G32" s="68">
        <v>51</v>
      </c>
    </row>
    <row r="33" spans="1:7" ht="15">
      <c r="A33" s="60" t="str">
        <f t="shared" si="0"/>
        <v>Dec-25-2022 - Jan-07-2023</v>
      </c>
      <c r="B33" s="41">
        <f>B32+14</f>
        <v>44920</v>
      </c>
      <c r="C33" s="41">
        <f t="shared" si="2"/>
        <v>44933</v>
      </c>
      <c r="D33" s="42">
        <f t="shared" si="3"/>
        <v>44946</v>
      </c>
      <c r="E33" s="42">
        <f t="shared" si="1"/>
        <v>44935</v>
      </c>
      <c r="F33" s="42">
        <f t="shared" si="4"/>
        <v>44936</v>
      </c>
      <c r="G33" s="68">
        <v>1</v>
      </c>
    </row>
    <row r="34" spans="1:7" ht="15">
      <c r="A34" s="60" t="str">
        <f t="shared" si="0"/>
        <v>Jan-08-2023 - Jan-21-2023</v>
      </c>
      <c r="B34" s="41">
        <f>B33+14</f>
        <v>44934</v>
      </c>
      <c r="C34" s="41">
        <f t="shared" si="2"/>
        <v>44947</v>
      </c>
      <c r="D34" s="42">
        <f t="shared" si="3"/>
        <v>44960</v>
      </c>
      <c r="E34" s="42">
        <f t="shared" si="1"/>
        <v>44949</v>
      </c>
      <c r="F34" s="42">
        <f t="shared" si="4"/>
        <v>44950</v>
      </c>
      <c r="G34" s="68">
        <v>3</v>
      </c>
    </row>
    <row r="35" spans="1:7" ht="15">
      <c r="A35" s="60" t="str">
        <f t="shared" si="0"/>
        <v>Jan-22-2023 - Feb-04-2023</v>
      </c>
      <c r="B35" s="41">
        <f t="shared" si="5"/>
        <v>44948</v>
      </c>
      <c r="C35" s="41">
        <f t="shared" si="2"/>
        <v>44961</v>
      </c>
      <c r="D35" s="42">
        <f t="shared" si="3"/>
        <v>44974</v>
      </c>
      <c r="E35" s="42">
        <f t="shared" si="1"/>
        <v>44963</v>
      </c>
      <c r="F35" s="42">
        <f t="shared" si="4"/>
        <v>44964</v>
      </c>
      <c r="G35" s="68">
        <v>5</v>
      </c>
    </row>
    <row r="36" spans="1:7" ht="15">
      <c r="A36" s="60" t="str">
        <f t="shared" si="0"/>
        <v>Feb-05-2023 - Feb-18-2023</v>
      </c>
      <c r="B36" s="41">
        <f t="shared" si="5"/>
        <v>44962</v>
      </c>
      <c r="C36" s="41">
        <f t="shared" si="2"/>
        <v>44975</v>
      </c>
      <c r="D36" s="42">
        <f t="shared" si="3"/>
        <v>44988</v>
      </c>
      <c r="E36" s="42">
        <f t="shared" si="1"/>
        <v>44977</v>
      </c>
      <c r="F36" s="42">
        <f t="shared" si="4"/>
        <v>44978</v>
      </c>
      <c r="G36" s="68">
        <v>7</v>
      </c>
    </row>
    <row r="37" spans="1:7" ht="15">
      <c r="A37" s="60" t="str">
        <f t="shared" si="0"/>
        <v>Feb-19-2023 - Mar-04-2023</v>
      </c>
      <c r="B37" s="41">
        <f t="shared" si="5"/>
        <v>44976</v>
      </c>
      <c r="C37" s="41">
        <f t="shared" si="2"/>
        <v>44989</v>
      </c>
      <c r="D37" s="42">
        <f t="shared" si="3"/>
        <v>45002</v>
      </c>
      <c r="E37" s="42">
        <f t="shared" si="1"/>
        <v>44991</v>
      </c>
      <c r="F37" s="42">
        <f t="shared" si="4"/>
        <v>44992</v>
      </c>
      <c r="G37" s="68">
        <v>9</v>
      </c>
    </row>
    <row r="38" spans="1:7" ht="15">
      <c r="A38" s="60" t="str">
        <f t="shared" si="0"/>
        <v>Mar-05-2023 - Mar-18-2023</v>
      </c>
      <c r="B38" s="41">
        <f t="shared" si="5"/>
        <v>44990</v>
      </c>
      <c r="C38" s="41">
        <f t="shared" si="2"/>
        <v>45003</v>
      </c>
      <c r="D38" s="42">
        <f t="shared" si="3"/>
        <v>45016</v>
      </c>
      <c r="E38" s="42">
        <f t="shared" si="1"/>
        <v>45005</v>
      </c>
      <c r="F38" s="42">
        <f t="shared" si="4"/>
        <v>45006</v>
      </c>
      <c r="G38" s="68">
        <v>11</v>
      </c>
    </row>
    <row r="39" spans="1:7" ht="15">
      <c r="A39" s="60" t="str">
        <f aca="true" t="shared" si="6" ref="A39:A61">CONCATENATE(TEXT(B39,"mmm-dd-yyyy")," - ",(TEXT(C39,"mmm-dd-yyyy")))</f>
        <v>Mar-19-2023 - Apr-01-2023</v>
      </c>
      <c r="B39" s="41">
        <f t="shared" si="5"/>
        <v>45004</v>
      </c>
      <c r="C39" s="41">
        <f t="shared" si="2"/>
        <v>45017</v>
      </c>
      <c r="D39" s="42">
        <f t="shared" si="3"/>
        <v>45030</v>
      </c>
      <c r="E39" s="42">
        <f aca="true" t="shared" si="7" ref="E39:E61">C39+2</f>
        <v>45019</v>
      </c>
      <c r="F39" s="42">
        <f t="shared" si="4"/>
        <v>45020</v>
      </c>
      <c r="G39" s="68">
        <v>13</v>
      </c>
    </row>
    <row r="40" spans="1:7" ht="15">
      <c r="A40" s="60" t="str">
        <f t="shared" si="6"/>
        <v>Apr-02-2023 - Apr-15-2023</v>
      </c>
      <c r="B40" s="41">
        <f t="shared" si="5"/>
        <v>45018</v>
      </c>
      <c r="C40" s="41">
        <f t="shared" si="2"/>
        <v>45031</v>
      </c>
      <c r="D40" s="42">
        <f t="shared" si="3"/>
        <v>45044</v>
      </c>
      <c r="E40" s="42">
        <f t="shared" si="7"/>
        <v>45033</v>
      </c>
      <c r="F40" s="42">
        <f t="shared" si="4"/>
        <v>45034</v>
      </c>
      <c r="G40" s="68">
        <v>15</v>
      </c>
    </row>
    <row r="41" spans="1:7" ht="15">
      <c r="A41" s="60" t="str">
        <f t="shared" si="6"/>
        <v>Apr-16-2023 - Apr-29-2023</v>
      </c>
      <c r="B41" s="41">
        <f t="shared" si="5"/>
        <v>45032</v>
      </c>
      <c r="C41" s="41">
        <f t="shared" si="2"/>
        <v>45045</v>
      </c>
      <c r="D41" s="42">
        <f t="shared" si="3"/>
        <v>45058</v>
      </c>
      <c r="E41" s="42">
        <f t="shared" si="7"/>
        <v>45047</v>
      </c>
      <c r="F41" s="42">
        <f t="shared" si="4"/>
        <v>45048</v>
      </c>
      <c r="G41" s="68">
        <v>17</v>
      </c>
    </row>
    <row r="42" spans="1:7" ht="15">
      <c r="A42" s="60" t="str">
        <f t="shared" si="6"/>
        <v>Apr-30-2023 - May-13-2023</v>
      </c>
      <c r="B42" s="41">
        <f t="shared" si="5"/>
        <v>45046</v>
      </c>
      <c r="C42" s="41">
        <f t="shared" si="2"/>
        <v>45059</v>
      </c>
      <c r="D42" s="42">
        <f t="shared" si="3"/>
        <v>45072</v>
      </c>
      <c r="E42" s="42">
        <f t="shared" si="7"/>
        <v>45061</v>
      </c>
      <c r="F42" s="42">
        <f t="shared" si="4"/>
        <v>45062</v>
      </c>
      <c r="G42" s="68">
        <v>19</v>
      </c>
    </row>
    <row r="43" spans="1:7" ht="15">
      <c r="A43" s="60" t="str">
        <f t="shared" si="6"/>
        <v>May-14-2023 - May-27-2023</v>
      </c>
      <c r="B43" s="41">
        <f t="shared" si="5"/>
        <v>45060</v>
      </c>
      <c r="C43" s="41">
        <f t="shared" si="2"/>
        <v>45073</v>
      </c>
      <c r="D43" s="42">
        <f t="shared" si="3"/>
        <v>45086</v>
      </c>
      <c r="E43" s="42">
        <f t="shared" si="7"/>
        <v>45075</v>
      </c>
      <c r="F43" s="42">
        <f t="shared" si="4"/>
        <v>45076</v>
      </c>
      <c r="G43" s="68">
        <v>21</v>
      </c>
    </row>
    <row r="44" spans="1:7" ht="15">
      <c r="A44" s="60" t="str">
        <f t="shared" si="6"/>
        <v>May-28-2023 - Jun-10-2023</v>
      </c>
      <c r="B44" s="41">
        <f t="shared" si="5"/>
        <v>45074</v>
      </c>
      <c r="C44" s="41">
        <f t="shared" si="2"/>
        <v>45087</v>
      </c>
      <c r="D44" s="42">
        <f t="shared" si="3"/>
        <v>45100</v>
      </c>
      <c r="E44" s="42">
        <f t="shared" si="7"/>
        <v>45089</v>
      </c>
      <c r="F44" s="42">
        <f t="shared" si="4"/>
        <v>45090</v>
      </c>
      <c r="G44" s="68">
        <v>23</v>
      </c>
    </row>
    <row r="45" spans="1:7" ht="15">
      <c r="A45" s="60" t="str">
        <f t="shared" si="6"/>
        <v>Jun-11-2023 - Jun-24-2023</v>
      </c>
      <c r="B45" s="41">
        <f t="shared" si="5"/>
        <v>45088</v>
      </c>
      <c r="C45" s="41">
        <f t="shared" si="2"/>
        <v>45101</v>
      </c>
      <c r="D45" s="42">
        <f t="shared" si="3"/>
        <v>45114</v>
      </c>
      <c r="E45" s="42">
        <f t="shared" si="7"/>
        <v>45103</v>
      </c>
      <c r="F45" s="42">
        <f t="shared" si="4"/>
        <v>45104</v>
      </c>
      <c r="G45" s="68">
        <v>25</v>
      </c>
    </row>
    <row r="46" spans="1:7" ht="15">
      <c r="A46" s="60" t="str">
        <f t="shared" si="6"/>
        <v>Jun-25-2023 - Jul-08-2023</v>
      </c>
      <c r="B46" s="41">
        <f t="shared" si="5"/>
        <v>45102</v>
      </c>
      <c r="C46" s="41">
        <f t="shared" si="2"/>
        <v>45115</v>
      </c>
      <c r="D46" s="42">
        <f t="shared" si="3"/>
        <v>45128</v>
      </c>
      <c r="E46" s="42">
        <f t="shared" si="7"/>
        <v>45117</v>
      </c>
      <c r="F46" s="42">
        <f t="shared" si="4"/>
        <v>45118</v>
      </c>
      <c r="G46" s="68">
        <v>27</v>
      </c>
    </row>
    <row r="47" spans="1:7" ht="15">
      <c r="A47" s="60" t="str">
        <f t="shared" si="6"/>
        <v>Jul-09-2023 - Jul-22-2023</v>
      </c>
      <c r="B47" s="41">
        <f t="shared" si="5"/>
        <v>45116</v>
      </c>
      <c r="C47" s="41">
        <f t="shared" si="2"/>
        <v>45129</v>
      </c>
      <c r="D47" s="42">
        <f t="shared" si="3"/>
        <v>45142</v>
      </c>
      <c r="E47" s="42">
        <f t="shared" si="7"/>
        <v>45131</v>
      </c>
      <c r="F47" s="42">
        <f t="shared" si="4"/>
        <v>45132</v>
      </c>
      <c r="G47" s="68">
        <v>29</v>
      </c>
    </row>
    <row r="48" spans="1:7" ht="15">
      <c r="A48" s="60" t="str">
        <f t="shared" si="6"/>
        <v>Jul-23-2023 - Aug-05-2023</v>
      </c>
      <c r="B48" s="41">
        <f t="shared" si="5"/>
        <v>45130</v>
      </c>
      <c r="C48" s="41">
        <f t="shared" si="2"/>
        <v>45143</v>
      </c>
      <c r="D48" s="42">
        <f t="shared" si="3"/>
        <v>45156</v>
      </c>
      <c r="E48" s="42">
        <f t="shared" si="7"/>
        <v>45145</v>
      </c>
      <c r="F48" s="42">
        <f t="shared" si="4"/>
        <v>45146</v>
      </c>
      <c r="G48" s="68">
        <v>31</v>
      </c>
    </row>
    <row r="49" spans="1:7" ht="15">
      <c r="A49" s="60" t="str">
        <f t="shared" si="6"/>
        <v>Aug-06-2023 - Aug-19-2023</v>
      </c>
      <c r="B49" s="41">
        <f t="shared" si="5"/>
        <v>45144</v>
      </c>
      <c r="C49" s="41">
        <f t="shared" si="2"/>
        <v>45157</v>
      </c>
      <c r="D49" s="42">
        <f t="shared" si="3"/>
        <v>45170</v>
      </c>
      <c r="E49" s="42">
        <f t="shared" si="7"/>
        <v>45159</v>
      </c>
      <c r="F49" s="42">
        <f t="shared" si="4"/>
        <v>45160</v>
      </c>
      <c r="G49" s="68">
        <v>33</v>
      </c>
    </row>
    <row r="50" spans="1:7" ht="15">
      <c r="A50" s="60" t="str">
        <f t="shared" si="6"/>
        <v>Aug-20-2023 - Sep-02-2023</v>
      </c>
      <c r="B50" s="41">
        <f t="shared" si="5"/>
        <v>45158</v>
      </c>
      <c r="C50" s="41">
        <f t="shared" si="2"/>
        <v>45171</v>
      </c>
      <c r="D50" s="42">
        <f t="shared" si="3"/>
        <v>45184</v>
      </c>
      <c r="E50" s="42">
        <f t="shared" si="7"/>
        <v>45173</v>
      </c>
      <c r="F50" s="42">
        <f t="shared" si="4"/>
        <v>45174</v>
      </c>
      <c r="G50" s="68">
        <v>35</v>
      </c>
    </row>
    <row r="51" spans="1:7" ht="15">
      <c r="A51" s="60" t="str">
        <f t="shared" si="6"/>
        <v>Sep-03-2023 - Sep-16-2023</v>
      </c>
      <c r="B51" s="41">
        <f t="shared" si="5"/>
        <v>45172</v>
      </c>
      <c r="C51" s="41">
        <f t="shared" si="2"/>
        <v>45185</v>
      </c>
      <c r="D51" s="42">
        <f t="shared" si="3"/>
        <v>45198</v>
      </c>
      <c r="E51" s="42">
        <f t="shared" si="7"/>
        <v>45187</v>
      </c>
      <c r="F51" s="42">
        <f t="shared" si="4"/>
        <v>45188</v>
      </c>
      <c r="G51" s="68">
        <v>37</v>
      </c>
    </row>
    <row r="52" spans="1:7" ht="15">
      <c r="A52" s="60" t="str">
        <f t="shared" si="6"/>
        <v>Sep-17-2023 - Sep-30-2023</v>
      </c>
      <c r="B52" s="41">
        <f t="shared" si="5"/>
        <v>45186</v>
      </c>
      <c r="C52" s="41">
        <f t="shared" si="2"/>
        <v>45199</v>
      </c>
      <c r="D52" s="42">
        <f t="shared" si="3"/>
        <v>45212</v>
      </c>
      <c r="E52" s="42">
        <f t="shared" si="7"/>
        <v>45201</v>
      </c>
      <c r="F52" s="42">
        <f t="shared" si="4"/>
        <v>45202</v>
      </c>
      <c r="G52" s="68">
        <v>39</v>
      </c>
    </row>
    <row r="53" spans="1:7" ht="15">
      <c r="A53" s="60" t="str">
        <f t="shared" si="6"/>
        <v>Oct-01-2023 - Oct-14-2023</v>
      </c>
      <c r="B53" s="41">
        <f t="shared" si="5"/>
        <v>45200</v>
      </c>
      <c r="C53" s="41">
        <f t="shared" si="2"/>
        <v>45213</v>
      </c>
      <c r="D53" s="42">
        <f t="shared" si="3"/>
        <v>45226</v>
      </c>
      <c r="E53" s="42">
        <f t="shared" si="7"/>
        <v>45215</v>
      </c>
      <c r="F53" s="42">
        <f t="shared" si="4"/>
        <v>45216</v>
      </c>
      <c r="G53" s="68">
        <v>41</v>
      </c>
    </row>
    <row r="54" spans="1:7" ht="15">
      <c r="A54" s="60" t="str">
        <f t="shared" si="6"/>
        <v>Oct-15-2023 - Oct-28-2023</v>
      </c>
      <c r="B54" s="41">
        <f t="shared" si="5"/>
        <v>45214</v>
      </c>
      <c r="C54" s="41">
        <f t="shared" si="2"/>
        <v>45227</v>
      </c>
      <c r="D54" s="42">
        <f t="shared" si="3"/>
        <v>45240</v>
      </c>
      <c r="E54" s="42">
        <f t="shared" si="7"/>
        <v>45229</v>
      </c>
      <c r="F54" s="42">
        <f t="shared" si="4"/>
        <v>45230</v>
      </c>
      <c r="G54" s="68">
        <v>43</v>
      </c>
    </row>
    <row r="55" spans="1:7" ht="15">
      <c r="A55" s="60" t="str">
        <f t="shared" si="6"/>
        <v>Oct-29-2023 - Nov-11-2023</v>
      </c>
      <c r="B55" s="41">
        <f t="shared" si="5"/>
        <v>45228</v>
      </c>
      <c r="C55" s="41">
        <f t="shared" si="2"/>
        <v>45241</v>
      </c>
      <c r="D55" s="42">
        <f t="shared" si="3"/>
        <v>45254</v>
      </c>
      <c r="E55" s="42">
        <f t="shared" si="7"/>
        <v>45243</v>
      </c>
      <c r="F55" s="42">
        <f t="shared" si="4"/>
        <v>45244</v>
      </c>
      <c r="G55" s="68">
        <v>45</v>
      </c>
    </row>
    <row r="56" spans="1:7" ht="15">
      <c r="A56" s="60" t="str">
        <f t="shared" si="6"/>
        <v>Nov-12-2023 - Nov-25-2023</v>
      </c>
      <c r="B56" s="41">
        <f t="shared" si="5"/>
        <v>45242</v>
      </c>
      <c r="C56" s="41">
        <f t="shared" si="2"/>
        <v>45255</v>
      </c>
      <c r="D56" s="42">
        <f t="shared" si="3"/>
        <v>45268</v>
      </c>
      <c r="E56" s="42">
        <f t="shared" si="7"/>
        <v>45257</v>
      </c>
      <c r="F56" s="42">
        <f t="shared" si="4"/>
        <v>45258</v>
      </c>
      <c r="G56" s="68">
        <v>47</v>
      </c>
    </row>
    <row r="57" spans="1:7" ht="15">
      <c r="A57" s="60" t="str">
        <f t="shared" si="6"/>
        <v>Nov-26-2023 - Dec-09-2023</v>
      </c>
      <c r="B57" s="41">
        <f t="shared" si="5"/>
        <v>45256</v>
      </c>
      <c r="C57" s="41">
        <f t="shared" si="2"/>
        <v>45269</v>
      </c>
      <c r="D57" s="42">
        <f t="shared" si="3"/>
        <v>45282</v>
      </c>
      <c r="E57" s="42">
        <f t="shared" si="7"/>
        <v>45271</v>
      </c>
      <c r="F57" s="42">
        <f t="shared" si="4"/>
        <v>45272</v>
      </c>
      <c r="G57" s="68">
        <v>49</v>
      </c>
    </row>
    <row r="58" spans="1:7" ht="15">
      <c r="A58" s="60" t="str">
        <f t="shared" si="6"/>
        <v>Dec-10-2023 - Dec-23-2023</v>
      </c>
      <c r="B58" s="41">
        <f t="shared" si="5"/>
        <v>45270</v>
      </c>
      <c r="C58" s="41">
        <f t="shared" si="2"/>
        <v>45283</v>
      </c>
      <c r="D58" s="42">
        <f t="shared" si="3"/>
        <v>45296</v>
      </c>
      <c r="E58" s="42">
        <f t="shared" si="7"/>
        <v>45285</v>
      </c>
      <c r="F58" s="42">
        <f t="shared" si="4"/>
        <v>45286</v>
      </c>
      <c r="G58" s="68">
        <v>51</v>
      </c>
    </row>
    <row r="59" spans="1:7" ht="15">
      <c r="A59" s="60" t="str">
        <f t="shared" si="6"/>
        <v>Dec-24-2023 - Jan-06-2024</v>
      </c>
      <c r="B59" s="41">
        <f>B58+14</f>
        <v>45284</v>
      </c>
      <c r="C59" s="41">
        <f t="shared" si="2"/>
        <v>45297</v>
      </c>
      <c r="D59" s="42">
        <f t="shared" si="3"/>
        <v>45310</v>
      </c>
      <c r="E59" s="42">
        <f t="shared" si="7"/>
        <v>45299</v>
      </c>
      <c r="F59" s="42">
        <f t="shared" si="4"/>
        <v>45300</v>
      </c>
      <c r="G59" s="68">
        <v>1</v>
      </c>
    </row>
    <row r="60" spans="1:7" ht="15">
      <c r="A60" s="60" t="str">
        <f t="shared" si="6"/>
        <v>Jan-07-2024 - Jan-20-2024</v>
      </c>
      <c r="B60" s="41">
        <f t="shared" si="5"/>
        <v>45298</v>
      </c>
      <c r="C60" s="41">
        <f t="shared" si="2"/>
        <v>45311</v>
      </c>
      <c r="D60" s="42">
        <f t="shared" si="3"/>
        <v>45324</v>
      </c>
      <c r="E60" s="42">
        <f t="shared" si="7"/>
        <v>45313</v>
      </c>
      <c r="F60" s="42">
        <f t="shared" si="4"/>
        <v>45314</v>
      </c>
      <c r="G60" s="68">
        <v>3</v>
      </c>
    </row>
    <row r="61" spans="1:7" ht="15">
      <c r="A61" s="60" t="str">
        <f t="shared" si="6"/>
        <v>Jan-21-2024 - Feb-03-2024</v>
      </c>
      <c r="B61" s="41">
        <f t="shared" si="5"/>
        <v>45312</v>
      </c>
      <c r="C61" s="41">
        <f t="shared" si="2"/>
        <v>45325</v>
      </c>
      <c r="D61" s="42">
        <f t="shared" si="3"/>
        <v>45338</v>
      </c>
      <c r="E61" s="42">
        <f t="shared" si="7"/>
        <v>45327</v>
      </c>
      <c r="F61" s="42">
        <f t="shared" si="4"/>
        <v>45328</v>
      </c>
      <c r="G61" s="68">
        <v>5</v>
      </c>
    </row>
    <row r="62" spans="1:7" ht="15">
      <c r="A62" s="60" t="str">
        <f>CONCATENATE(TEXT(B62,"mmm-dd-yyyy")," - ",(TEXT(C62,"mmm-dd-yyyy")))</f>
        <v>Feb-04-2024 - Feb-17-2024</v>
      </c>
      <c r="B62" s="41">
        <f t="shared" si="5"/>
        <v>45326</v>
      </c>
      <c r="C62" s="41">
        <f aca="true" t="shared" si="8" ref="C62:D65">B62+13</f>
        <v>45339</v>
      </c>
      <c r="D62" s="42">
        <f t="shared" si="8"/>
        <v>45352</v>
      </c>
      <c r="E62" s="42">
        <f>C62+2</f>
        <v>45341</v>
      </c>
      <c r="F62" s="42">
        <f>E62+1</f>
        <v>45342</v>
      </c>
      <c r="G62" s="68">
        <v>7</v>
      </c>
    </row>
    <row r="63" spans="1:7" ht="15">
      <c r="A63" s="60" t="str">
        <f>CONCATENATE(TEXT(B63,"mmm-dd-yyyy")," - ",(TEXT(C63,"mmm-dd-yyyy")))</f>
        <v>Feb-18-2024 - Mar-02-2024</v>
      </c>
      <c r="B63" s="41">
        <f t="shared" si="5"/>
        <v>45340</v>
      </c>
      <c r="C63" s="41">
        <f t="shared" si="8"/>
        <v>45353</v>
      </c>
      <c r="D63" s="42">
        <f t="shared" si="8"/>
        <v>45366</v>
      </c>
      <c r="E63" s="42">
        <f>C63+2</f>
        <v>45355</v>
      </c>
      <c r="F63" s="42">
        <f>E63+1</f>
        <v>45356</v>
      </c>
      <c r="G63" s="68">
        <v>9</v>
      </c>
    </row>
    <row r="64" spans="1:7" ht="15">
      <c r="A64" s="60" t="str">
        <f>CONCATENATE(TEXT(B64,"mmm-dd-yyyy")," - ",(TEXT(C64,"mmm-dd-yyyy")))</f>
        <v>Mar-03-2024 - Mar-16-2024</v>
      </c>
      <c r="B64" s="41">
        <f t="shared" si="5"/>
        <v>45354</v>
      </c>
      <c r="C64" s="41">
        <f t="shared" si="8"/>
        <v>45367</v>
      </c>
      <c r="D64" s="42">
        <f t="shared" si="8"/>
        <v>45380</v>
      </c>
      <c r="E64" s="42">
        <f>C64+2</f>
        <v>45369</v>
      </c>
      <c r="F64" s="42">
        <f>E64+1</f>
        <v>45370</v>
      </c>
      <c r="G64" s="68">
        <v>11</v>
      </c>
    </row>
    <row r="65" spans="1:7" ht="15">
      <c r="A65" s="60" t="str">
        <f>CONCATENATE(TEXT(B65,"mmm-dd-yyyy")," - ",(TEXT(C65,"mmm-dd-yyyy")))</f>
        <v>Mar-17-2024 - Mar-30-2024</v>
      </c>
      <c r="B65" s="41">
        <f t="shared" si="5"/>
        <v>45368</v>
      </c>
      <c r="C65" s="41">
        <f t="shared" si="8"/>
        <v>45381</v>
      </c>
      <c r="D65" s="42">
        <f t="shared" si="8"/>
        <v>45394</v>
      </c>
      <c r="E65" s="42">
        <f>C65+2</f>
        <v>45383</v>
      </c>
      <c r="F65" s="42">
        <f>E65+1</f>
        <v>45384</v>
      </c>
      <c r="G65" s="68">
        <v>13</v>
      </c>
    </row>
    <row r="66" spans="1:7" ht="15">
      <c r="A66" s="60" t="str">
        <f aca="true" t="shared" si="9" ref="A66:A113">CONCATENATE(TEXT(B66,"mmm-dd-yyyy")," - ",(TEXT(C66,"mmm-dd-yyyy")))</f>
        <v>Mar-31-2024 - Apr-13-2024</v>
      </c>
      <c r="B66" s="41">
        <f t="shared" si="5"/>
        <v>45382</v>
      </c>
      <c r="C66" s="41">
        <f aca="true" t="shared" si="10" ref="C66:C113">B66+13</f>
        <v>45395</v>
      </c>
      <c r="D66" s="42">
        <f aca="true" t="shared" si="11" ref="D66:D113">C66+13</f>
        <v>45408</v>
      </c>
      <c r="E66" s="42">
        <f aca="true" t="shared" si="12" ref="E66:E113">C66+2</f>
        <v>45397</v>
      </c>
      <c r="F66" s="42">
        <f aca="true" t="shared" si="13" ref="F66:F113">E66+1</f>
        <v>45398</v>
      </c>
      <c r="G66" s="68">
        <v>15</v>
      </c>
    </row>
    <row r="67" spans="1:7" ht="15">
      <c r="A67" s="60" t="str">
        <f t="shared" si="9"/>
        <v>Apr-14-2024 - Apr-27-2024</v>
      </c>
      <c r="B67" s="41">
        <f t="shared" si="5"/>
        <v>45396</v>
      </c>
      <c r="C67" s="41">
        <f t="shared" si="10"/>
        <v>45409</v>
      </c>
      <c r="D67" s="42">
        <f t="shared" si="11"/>
        <v>45422</v>
      </c>
      <c r="E67" s="42">
        <f t="shared" si="12"/>
        <v>45411</v>
      </c>
      <c r="F67" s="42">
        <f t="shared" si="13"/>
        <v>45412</v>
      </c>
      <c r="G67" s="68">
        <v>17</v>
      </c>
    </row>
    <row r="68" spans="1:7" ht="15">
      <c r="A68" s="60" t="str">
        <f t="shared" si="9"/>
        <v>Apr-28-2024 - May-11-2024</v>
      </c>
      <c r="B68" s="41">
        <f t="shared" si="5"/>
        <v>45410</v>
      </c>
      <c r="C68" s="41">
        <f t="shared" si="10"/>
        <v>45423</v>
      </c>
      <c r="D68" s="42">
        <f t="shared" si="11"/>
        <v>45436</v>
      </c>
      <c r="E68" s="42">
        <f t="shared" si="12"/>
        <v>45425</v>
      </c>
      <c r="F68" s="42">
        <f t="shared" si="13"/>
        <v>45426</v>
      </c>
      <c r="G68" s="68">
        <v>19</v>
      </c>
    </row>
    <row r="69" spans="1:7" ht="15">
      <c r="A69" s="60" t="str">
        <f t="shared" si="9"/>
        <v>May-12-2024 - May-25-2024</v>
      </c>
      <c r="B69" s="41">
        <f t="shared" si="5"/>
        <v>45424</v>
      </c>
      <c r="C69" s="41">
        <f t="shared" si="10"/>
        <v>45437</v>
      </c>
      <c r="D69" s="42">
        <f t="shared" si="11"/>
        <v>45450</v>
      </c>
      <c r="E69" s="42">
        <f t="shared" si="12"/>
        <v>45439</v>
      </c>
      <c r="F69" s="42">
        <f t="shared" si="13"/>
        <v>45440</v>
      </c>
      <c r="G69" s="68">
        <v>21</v>
      </c>
    </row>
    <row r="70" spans="1:7" ht="15">
      <c r="A70" s="60" t="str">
        <f t="shared" si="9"/>
        <v>May-26-2024 - Jun-08-2024</v>
      </c>
      <c r="B70" s="41">
        <f t="shared" si="5"/>
        <v>45438</v>
      </c>
      <c r="C70" s="41">
        <f t="shared" si="10"/>
        <v>45451</v>
      </c>
      <c r="D70" s="42">
        <f t="shared" si="11"/>
        <v>45464</v>
      </c>
      <c r="E70" s="42">
        <f t="shared" si="12"/>
        <v>45453</v>
      </c>
      <c r="F70" s="42">
        <f t="shared" si="13"/>
        <v>45454</v>
      </c>
      <c r="G70" s="68">
        <v>23</v>
      </c>
    </row>
    <row r="71" spans="1:7" ht="15">
      <c r="A71" s="60" t="str">
        <f t="shared" si="9"/>
        <v>Jun-09-2024 - Jun-22-2024</v>
      </c>
      <c r="B71" s="41">
        <f t="shared" si="5"/>
        <v>45452</v>
      </c>
      <c r="C71" s="41">
        <f t="shared" si="10"/>
        <v>45465</v>
      </c>
      <c r="D71" s="42">
        <f t="shared" si="11"/>
        <v>45478</v>
      </c>
      <c r="E71" s="42">
        <f t="shared" si="12"/>
        <v>45467</v>
      </c>
      <c r="F71" s="42">
        <f t="shared" si="13"/>
        <v>45468</v>
      </c>
      <c r="G71" s="68">
        <v>25</v>
      </c>
    </row>
    <row r="72" spans="1:7" ht="15">
      <c r="A72" s="60" t="str">
        <f t="shared" si="9"/>
        <v>Jun-23-2024 - Jul-06-2024</v>
      </c>
      <c r="B72" s="41">
        <f t="shared" si="5"/>
        <v>45466</v>
      </c>
      <c r="C72" s="41">
        <f t="shared" si="10"/>
        <v>45479</v>
      </c>
      <c r="D72" s="42">
        <f t="shared" si="11"/>
        <v>45492</v>
      </c>
      <c r="E72" s="42">
        <f t="shared" si="12"/>
        <v>45481</v>
      </c>
      <c r="F72" s="42">
        <f t="shared" si="13"/>
        <v>45482</v>
      </c>
      <c r="G72" s="68">
        <v>27</v>
      </c>
    </row>
    <row r="73" spans="1:7" ht="15">
      <c r="A73" s="60" t="str">
        <f t="shared" si="9"/>
        <v>Jul-07-2024 - Jul-20-2024</v>
      </c>
      <c r="B73" s="41">
        <f>B72+14</f>
        <v>45480</v>
      </c>
      <c r="C73" s="41">
        <f t="shared" si="10"/>
        <v>45493</v>
      </c>
      <c r="D73" s="42">
        <f t="shared" si="11"/>
        <v>45506</v>
      </c>
      <c r="E73" s="42">
        <f t="shared" si="12"/>
        <v>45495</v>
      </c>
      <c r="F73" s="42">
        <f t="shared" si="13"/>
        <v>45496</v>
      </c>
      <c r="G73" s="68">
        <v>29</v>
      </c>
    </row>
    <row r="74" spans="1:7" ht="15">
      <c r="A74" s="60" t="str">
        <f t="shared" si="9"/>
        <v>Jul-21-2024 - Aug-03-2024</v>
      </c>
      <c r="B74" s="41">
        <f t="shared" si="5"/>
        <v>45494</v>
      </c>
      <c r="C74" s="41">
        <f t="shared" si="10"/>
        <v>45507</v>
      </c>
      <c r="D74" s="42">
        <f t="shared" si="11"/>
        <v>45520</v>
      </c>
      <c r="E74" s="42">
        <f t="shared" si="12"/>
        <v>45509</v>
      </c>
      <c r="F74" s="42">
        <f t="shared" si="13"/>
        <v>45510</v>
      </c>
      <c r="G74" s="68">
        <v>31</v>
      </c>
    </row>
    <row r="75" spans="1:7" ht="15">
      <c r="A75" s="60" t="str">
        <f t="shared" si="9"/>
        <v>Aug-04-2024 - Aug-17-2024</v>
      </c>
      <c r="B75" s="41">
        <f aca="true" t="shared" si="14" ref="B75:B137">B74+14</f>
        <v>45508</v>
      </c>
      <c r="C75" s="41">
        <f t="shared" si="10"/>
        <v>45521</v>
      </c>
      <c r="D75" s="42">
        <f t="shared" si="11"/>
        <v>45534</v>
      </c>
      <c r="E75" s="42">
        <f t="shared" si="12"/>
        <v>45523</v>
      </c>
      <c r="F75" s="42">
        <f t="shared" si="13"/>
        <v>45524</v>
      </c>
      <c r="G75" s="68">
        <v>33</v>
      </c>
    </row>
    <row r="76" spans="1:7" ht="15">
      <c r="A76" s="60" t="str">
        <f t="shared" si="9"/>
        <v>Aug-18-2024 - Aug-31-2024</v>
      </c>
      <c r="B76" s="41">
        <f t="shared" si="14"/>
        <v>45522</v>
      </c>
      <c r="C76" s="41">
        <f t="shared" si="10"/>
        <v>45535</v>
      </c>
      <c r="D76" s="42">
        <f t="shared" si="11"/>
        <v>45548</v>
      </c>
      <c r="E76" s="42">
        <f t="shared" si="12"/>
        <v>45537</v>
      </c>
      <c r="F76" s="42">
        <f t="shared" si="13"/>
        <v>45538</v>
      </c>
      <c r="G76" s="68">
        <v>35</v>
      </c>
    </row>
    <row r="77" spans="1:7" ht="15">
      <c r="A77" s="60" t="str">
        <f t="shared" si="9"/>
        <v>Sep-01-2024 - Sep-14-2024</v>
      </c>
      <c r="B77" s="41">
        <f t="shared" si="14"/>
        <v>45536</v>
      </c>
      <c r="C77" s="41">
        <f t="shared" si="10"/>
        <v>45549</v>
      </c>
      <c r="D77" s="42">
        <f t="shared" si="11"/>
        <v>45562</v>
      </c>
      <c r="E77" s="42">
        <f t="shared" si="12"/>
        <v>45551</v>
      </c>
      <c r="F77" s="42">
        <f t="shared" si="13"/>
        <v>45552</v>
      </c>
      <c r="G77" s="68">
        <v>37</v>
      </c>
    </row>
    <row r="78" spans="1:7" ht="15">
      <c r="A78" s="60" t="str">
        <f t="shared" si="9"/>
        <v>Sep-15-2024 - Sep-28-2024</v>
      </c>
      <c r="B78" s="41">
        <f t="shared" si="14"/>
        <v>45550</v>
      </c>
      <c r="C78" s="41">
        <f t="shared" si="10"/>
        <v>45563</v>
      </c>
      <c r="D78" s="42">
        <f t="shared" si="11"/>
        <v>45576</v>
      </c>
      <c r="E78" s="42">
        <f t="shared" si="12"/>
        <v>45565</v>
      </c>
      <c r="F78" s="42">
        <f t="shared" si="13"/>
        <v>45566</v>
      </c>
      <c r="G78" s="68">
        <v>39</v>
      </c>
    </row>
    <row r="79" spans="1:7" ht="15">
      <c r="A79" s="60" t="str">
        <f t="shared" si="9"/>
        <v>Sep-29-2024 - Oct-12-2024</v>
      </c>
      <c r="B79" s="41">
        <f t="shared" si="14"/>
        <v>45564</v>
      </c>
      <c r="C79" s="41">
        <f t="shared" si="10"/>
        <v>45577</v>
      </c>
      <c r="D79" s="42">
        <f t="shared" si="11"/>
        <v>45590</v>
      </c>
      <c r="E79" s="42">
        <f t="shared" si="12"/>
        <v>45579</v>
      </c>
      <c r="F79" s="42">
        <f t="shared" si="13"/>
        <v>45580</v>
      </c>
      <c r="G79" s="68">
        <v>41</v>
      </c>
    </row>
    <row r="80" spans="1:7" ht="15">
      <c r="A80" s="60" t="str">
        <f t="shared" si="9"/>
        <v>Oct-13-2024 - Oct-26-2024</v>
      </c>
      <c r="B80" s="41">
        <f t="shared" si="14"/>
        <v>45578</v>
      </c>
      <c r="C80" s="41">
        <f t="shared" si="10"/>
        <v>45591</v>
      </c>
      <c r="D80" s="42">
        <f t="shared" si="11"/>
        <v>45604</v>
      </c>
      <c r="E80" s="42">
        <f t="shared" si="12"/>
        <v>45593</v>
      </c>
      <c r="F80" s="42">
        <f t="shared" si="13"/>
        <v>45594</v>
      </c>
      <c r="G80" s="68">
        <v>43</v>
      </c>
    </row>
    <row r="81" spans="1:7" ht="15">
      <c r="A81" s="60" t="str">
        <f t="shared" si="9"/>
        <v>Oct-27-2024 - Nov-09-2024</v>
      </c>
      <c r="B81" s="41">
        <f t="shared" si="14"/>
        <v>45592</v>
      </c>
      <c r="C81" s="41">
        <f t="shared" si="10"/>
        <v>45605</v>
      </c>
      <c r="D81" s="42">
        <f t="shared" si="11"/>
        <v>45618</v>
      </c>
      <c r="E81" s="42">
        <f t="shared" si="12"/>
        <v>45607</v>
      </c>
      <c r="F81" s="42">
        <f t="shared" si="13"/>
        <v>45608</v>
      </c>
      <c r="G81" s="68">
        <v>45</v>
      </c>
    </row>
    <row r="82" spans="1:7" ht="15">
      <c r="A82" s="60" t="str">
        <f t="shared" si="9"/>
        <v>Nov-10-2024 - Nov-23-2024</v>
      </c>
      <c r="B82" s="41">
        <f t="shared" si="14"/>
        <v>45606</v>
      </c>
      <c r="C82" s="41">
        <f t="shared" si="10"/>
        <v>45619</v>
      </c>
      <c r="D82" s="42">
        <f t="shared" si="11"/>
        <v>45632</v>
      </c>
      <c r="E82" s="42">
        <f t="shared" si="12"/>
        <v>45621</v>
      </c>
      <c r="F82" s="42">
        <f t="shared" si="13"/>
        <v>45622</v>
      </c>
      <c r="G82" s="68">
        <v>47</v>
      </c>
    </row>
    <row r="83" spans="1:7" ht="15">
      <c r="A83" s="60" t="str">
        <f t="shared" si="9"/>
        <v>Nov-24-2024 - Dec-07-2024</v>
      </c>
      <c r="B83" s="41">
        <f t="shared" si="14"/>
        <v>45620</v>
      </c>
      <c r="C83" s="41">
        <f t="shared" si="10"/>
        <v>45633</v>
      </c>
      <c r="D83" s="42">
        <f t="shared" si="11"/>
        <v>45646</v>
      </c>
      <c r="E83" s="42">
        <f t="shared" si="12"/>
        <v>45635</v>
      </c>
      <c r="F83" s="42">
        <f t="shared" si="13"/>
        <v>45636</v>
      </c>
      <c r="G83" s="68">
        <v>49</v>
      </c>
    </row>
    <row r="84" spans="1:7" ht="15">
      <c r="A84" s="60" t="str">
        <f t="shared" si="9"/>
        <v>Dec-08-2024 - Dec-21-2024</v>
      </c>
      <c r="B84" s="41">
        <f t="shared" si="14"/>
        <v>45634</v>
      </c>
      <c r="C84" s="41">
        <f t="shared" si="10"/>
        <v>45647</v>
      </c>
      <c r="D84" s="42">
        <f t="shared" si="11"/>
        <v>45660</v>
      </c>
      <c r="E84" s="42">
        <f t="shared" si="12"/>
        <v>45649</v>
      </c>
      <c r="F84" s="42">
        <f t="shared" si="13"/>
        <v>45650</v>
      </c>
      <c r="G84" s="68">
        <v>51</v>
      </c>
    </row>
    <row r="85" spans="1:7" ht="15">
      <c r="A85" s="60" t="str">
        <f t="shared" si="9"/>
        <v>Dec-22-2024 - Jan-04-2025</v>
      </c>
      <c r="B85" s="41">
        <f t="shared" si="14"/>
        <v>45648</v>
      </c>
      <c r="C85" s="41">
        <f t="shared" si="10"/>
        <v>45661</v>
      </c>
      <c r="D85" s="42">
        <f t="shared" si="11"/>
        <v>45674</v>
      </c>
      <c r="E85" s="42">
        <f t="shared" si="12"/>
        <v>45663</v>
      </c>
      <c r="F85" s="42">
        <f t="shared" si="13"/>
        <v>45664</v>
      </c>
      <c r="G85" s="68">
        <v>1</v>
      </c>
    </row>
    <row r="86" spans="1:7" ht="15">
      <c r="A86" s="60" t="str">
        <f t="shared" si="9"/>
        <v>Jan-05-2025 - Jan-18-2025</v>
      </c>
      <c r="B86" s="41">
        <f t="shared" si="14"/>
        <v>45662</v>
      </c>
      <c r="C86" s="41">
        <f t="shared" si="10"/>
        <v>45675</v>
      </c>
      <c r="D86" s="42">
        <f t="shared" si="11"/>
        <v>45688</v>
      </c>
      <c r="E86" s="42">
        <f t="shared" si="12"/>
        <v>45677</v>
      </c>
      <c r="F86" s="42">
        <f t="shared" si="13"/>
        <v>45678</v>
      </c>
      <c r="G86" s="68">
        <v>3</v>
      </c>
    </row>
    <row r="87" spans="1:7" ht="15">
      <c r="A87" s="60" t="str">
        <f t="shared" si="9"/>
        <v>Jan-19-2025 - Feb-01-2025</v>
      </c>
      <c r="B87" s="41">
        <f t="shared" si="14"/>
        <v>45676</v>
      </c>
      <c r="C87" s="41">
        <f t="shared" si="10"/>
        <v>45689</v>
      </c>
      <c r="D87" s="42">
        <f t="shared" si="11"/>
        <v>45702</v>
      </c>
      <c r="E87" s="42">
        <f t="shared" si="12"/>
        <v>45691</v>
      </c>
      <c r="F87" s="42">
        <f t="shared" si="13"/>
        <v>45692</v>
      </c>
      <c r="G87" s="68">
        <v>5</v>
      </c>
    </row>
    <row r="88" spans="1:7" ht="15">
      <c r="A88" s="60" t="str">
        <f t="shared" si="9"/>
        <v>Feb-02-2025 - Feb-15-2025</v>
      </c>
      <c r="B88" s="41">
        <f t="shared" si="14"/>
        <v>45690</v>
      </c>
      <c r="C88" s="41">
        <f t="shared" si="10"/>
        <v>45703</v>
      </c>
      <c r="D88" s="42">
        <f t="shared" si="11"/>
        <v>45716</v>
      </c>
      <c r="E88" s="42">
        <f t="shared" si="12"/>
        <v>45705</v>
      </c>
      <c r="F88" s="42">
        <f t="shared" si="13"/>
        <v>45706</v>
      </c>
      <c r="G88" s="68">
        <v>7</v>
      </c>
    </row>
    <row r="89" spans="1:7" ht="15">
      <c r="A89" s="60" t="str">
        <f t="shared" si="9"/>
        <v>Feb-16-2025 - Mar-01-2025</v>
      </c>
      <c r="B89" s="41">
        <f t="shared" si="14"/>
        <v>45704</v>
      </c>
      <c r="C89" s="41">
        <f t="shared" si="10"/>
        <v>45717</v>
      </c>
      <c r="D89" s="42">
        <f t="shared" si="11"/>
        <v>45730</v>
      </c>
      <c r="E89" s="42">
        <f t="shared" si="12"/>
        <v>45719</v>
      </c>
      <c r="F89" s="42">
        <f t="shared" si="13"/>
        <v>45720</v>
      </c>
      <c r="G89" s="68">
        <v>9</v>
      </c>
    </row>
    <row r="90" spans="1:7" ht="15">
      <c r="A90" s="60" t="str">
        <f t="shared" si="9"/>
        <v>Mar-02-2025 - Mar-15-2025</v>
      </c>
      <c r="B90" s="41">
        <f t="shared" si="14"/>
        <v>45718</v>
      </c>
      <c r="C90" s="41">
        <f t="shared" si="10"/>
        <v>45731</v>
      </c>
      <c r="D90" s="42">
        <f t="shared" si="11"/>
        <v>45744</v>
      </c>
      <c r="E90" s="42">
        <f t="shared" si="12"/>
        <v>45733</v>
      </c>
      <c r="F90" s="42">
        <f t="shared" si="13"/>
        <v>45734</v>
      </c>
      <c r="G90" s="68">
        <v>11</v>
      </c>
    </row>
    <row r="91" spans="1:7" ht="15">
      <c r="A91" s="60" t="str">
        <f t="shared" si="9"/>
        <v>Mar-16-2025 - Mar-29-2025</v>
      </c>
      <c r="B91" s="41">
        <f t="shared" si="14"/>
        <v>45732</v>
      </c>
      <c r="C91" s="41">
        <f t="shared" si="10"/>
        <v>45745</v>
      </c>
      <c r="D91" s="42">
        <f t="shared" si="11"/>
        <v>45758</v>
      </c>
      <c r="E91" s="42">
        <f t="shared" si="12"/>
        <v>45747</v>
      </c>
      <c r="F91" s="42">
        <f t="shared" si="13"/>
        <v>45748</v>
      </c>
      <c r="G91" s="68">
        <v>13</v>
      </c>
    </row>
    <row r="92" spans="1:7" ht="15">
      <c r="A92" s="60" t="str">
        <f t="shared" si="9"/>
        <v>Mar-30-2025 - Apr-12-2025</v>
      </c>
      <c r="B92" s="41">
        <f t="shared" si="14"/>
        <v>45746</v>
      </c>
      <c r="C92" s="41">
        <f t="shared" si="10"/>
        <v>45759</v>
      </c>
      <c r="D92" s="42">
        <f t="shared" si="11"/>
        <v>45772</v>
      </c>
      <c r="E92" s="42">
        <f t="shared" si="12"/>
        <v>45761</v>
      </c>
      <c r="F92" s="42">
        <f t="shared" si="13"/>
        <v>45762</v>
      </c>
      <c r="G92" s="68">
        <v>15</v>
      </c>
    </row>
    <row r="93" spans="1:7" ht="15">
      <c r="A93" s="60" t="str">
        <f t="shared" si="9"/>
        <v>Apr-13-2025 - Apr-26-2025</v>
      </c>
      <c r="B93" s="41">
        <f t="shared" si="14"/>
        <v>45760</v>
      </c>
      <c r="C93" s="41">
        <f t="shared" si="10"/>
        <v>45773</v>
      </c>
      <c r="D93" s="42">
        <f t="shared" si="11"/>
        <v>45786</v>
      </c>
      <c r="E93" s="42">
        <f t="shared" si="12"/>
        <v>45775</v>
      </c>
      <c r="F93" s="42">
        <f t="shared" si="13"/>
        <v>45776</v>
      </c>
      <c r="G93" s="68">
        <v>17</v>
      </c>
    </row>
    <row r="94" spans="1:7" ht="15">
      <c r="A94" s="60" t="str">
        <f t="shared" si="9"/>
        <v>Apr-27-2025 - May-10-2025</v>
      </c>
      <c r="B94" s="41">
        <f t="shared" si="14"/>
        <v>45774</v>
      </c>
      <c r="C94" s="41">
        <f t="shared" si="10"/>
        <v>45787</v>
      </c>
      <c r="D94" s="42">
        <f t="shared" si="11"/>
        <v>45800</v>
      </c>
      <c r="E94" s="42">
        <f t="shared" si="12"/>
        <v>45789</v>
      </c>
      <c r="F94" s="42">
        <f t="shared" si="13"/>
        <v>45790</v>
      </c>
      <c r="G94" s="68">
        <v>19</v>
      </c>
    </row>
    <row r="95" spans="1:7" ht="15">
      <c r="A95" s="60" t="str">
        <f t="shared" si="9"/>
        <v>May-11-2025 - May-24-2025</v>
      </c>
      <c r="B95" s="41">
        <f t="shared" si="14"/>
        <v>45788</v>
      </c>
      <c r="C95" s="41">
        <f t="shared" si="10"/>
        <v>45801</v>
      </c>
      <c r="D95" s="42">
        <f t="shared" si="11"/>
        <v>45814</v>
      </c>
      <c r="E95" s="42">
        <f t="shared" si="12"/>
        <v>45803</v>
      </c>
      <c r="F95" s="42">
        <f t="shared" si="13"/>
        <v>45804</v>
      </c>
      <c r="G95" s="68">
        <v>21</v>
      </c>
    </row>
    <row r="96" spans="1:7" ht="15">
      <c r="A96" s="60" t="str">
        <f t="shared" si="9"/>
        <v>May-25-2025 - Jun-07-2025</v>
      </c>
      <c r="B96" s="41">
        <f t="shared" si="14"/>
        <v>45802</v>
      </c>
      <c r="C96" s="41">
        <f t="shared" si="10"/>
        <v>45815</v>
      </c>
      <c r="D96" s="42">
        <f t="shared" si="11"/>
        <v>45828</v>
      </c>
      <c r="E96" s="42">
        <f t="shared" si="12"/>
        <v>45817</v>
      </c>
      <c r="F96" s="42">
        <f t="shared" si="13"/>
        <v>45818</v>
      </c>
      <c r="G96" s="68">
        <v>23</v>
      </c>
    </row>
    <row r="97" spans="1:7" ht="15">
      <c r="A97" s="60" t="str">
        <f t="shared" si="9"/>
        <v>Jun-08-2025 - Jun-21-2025</v>
      </c>
      <c r="B97" s="41">
        <f t="shared" si="14"/>
        <v>45816</v>
      </c>
      <c r="C97" s="41">
        <f t="shared" si="10"/>
        <v>45829</v>
      </c>
      <c r="D97" s="42">
        <f t="shared" si="11"/>
        <v>45842</v>
      </c>
      <c r="E97" s="42">
        <f t="shared" si="12"/>
        <v>45831</v>
      </c>
      <c r="F97" s="42">
        <f t="shared" si="13"/>
        <v>45832</v>
      </c>
      <c r="G97" s="68">
        <v>25</v>
      </c>
    </row>
    <row r="98" spans="1:7" ht="15">
      <c r="A98" s="60" t="str">
        <f t="shared" si="9"/>
        <v>Jun-22-2025 - Jul-05-2025</v>
      </c>
      <c r="B98" s="41">
        <f t="shared" si="14"/>
        <v>45830</v>
      </c>
      <c r="C98" s="41">
        <f t="shared" si="10"/>
        <v>45843</v>
      </c>
      <c r="D98" s="42">
        <f t="shared" si="11"/>
        <v>45856</v>
      </c>
      <c r="E98" s="42">
        <f t="shared" si="12"/>
        <v>45845</v>
      </c>
      <c r="F98" s="42">
        <f t="shared" si="13"/>
        <v>45846</v>
      </c>
      <c r="G98" s="68">
        <v>27</v>
      </c>
    </row>
    <row r="99" spans="1:7" ht="15">
      <c r="A99" s="60" t="str">
        <f t="shared" si="9"/>
        <v>Jul-06-2025 - Jul-19-2025</v>
      </c>
      <c r="B99" s="41">
        <f t="shared" si="14"/>
        <v>45844</v>
      </c>
      <c r="C99" s="41">
        <f t="shared" si="10"/>
        <v>45857</v>
      </c>
      <c r="D99" s="42">
        <f t="shared" si="11"/>
        <v>45870</v>
      </c>
      <c r="E99" s="42">
        <f t="shared" si="12"/>
        <v>45859</v>
      </c>
      <c r="F99" s="42">
        <f t="shared" si="13"/>
        <v>45860</v>
      </c>
      <c r="G99" s="68">
        <v>29</v>
      </c>
    </row>
    <row r="100" spans="1:7" ht="15">
      <c r="A100" s="60" t="str">
        <f t="shared" si="9"/>
        <v>Jul-20-2025 - Aug-02-2025</v>
      </c>
      <c r="B100" s="41">
        <f t="shared" si="14"/>
        <v>45858</v>
      </c>
      <c r="C100" s="41">
        <f t="shared" si="10"/>
        <v>45871</v>
      </c>
      <c r="D100" s="42">
        <f t="shared" si="11"/>
        <v>45884</v>
      </c>
      <c r="E100" s="42">
        <f t="shared" si="12"/>
        <v>45873</v>
      </c>
      <c r="F100" s="42">
        <f t="shared" si="13"/>
        <v>45874</v>
      </c>
      <c r="G100" s="68">
        <v>31</v>
      </c>
    </row>
    <row r="101" spans="1:7" ht="15">
      <c r="A101" s="60" t="str">
        <f t="shared" si="9"/>
        <v>Aug-03-2025 - Aug-16-2025</v>
      </c>
      <c r="B101" s="41">
        <f t="shared" si="14"/>
        <v>45872</v>
      </c>
      <c r="C101" s="41">
        <f t="shared" si="10"/>
        <v>45885</v>
      </c>
      <c r="D101" s="42">
        <f t="shared" si="11"/>
        <v>45898</v>
      </c>
      <c r="E101" s="42">
        <f t="shared" si="12"/>
        <v>45887</v>
      </c>
      <c r="F101" s="42">
        <f t="shared" si="13"/>
        <v>45888</v>
      </c>
      <c r="G101" s="68">
        <v>33</v>
      </c>
    </row>
    <row r="102" spans="1:7" ht="15">
      <c r="A102" s="60" t="str">
        <f t="shared" si="9"/>
        <v>Aug-17-2025 - Aug-30-2025</v>
      </c>
      <c r="B102" s="41">
        <f t="shared" si="14"/>
        <v>45886</v>
      </c>
      <c r="C102" s="41">
        <f t="shared" si="10"/>
        <v>45899</v>
      </c>
      <c r="D102" s="42">
        <f t="shared" si="11"/>
        <v>45912</v>
      </c>
      <c r="E102" s="42">
        <f t="shared" si="12"/>
        <v>45901</v>
      </c>
      <c r="F102" s="42">
        <f t="shared" si="13"/>
        <v>45902</v>
      </c>
      <c r="G102" s="68">
        <v>35</v>
      </c>
    </row>
    <row r="103" spans="1:7" ht="15">
      <c r="A103" s="60" t="str">
        <f t="shared" si="9"/>
        <v>Aug-31-2025 - Sep-13-2025</v>
      </c>
      <c r="B103" s="41">
        <f t="shared" si="14"/>
        <v>45900</v>
      </c>
      <c r="C103" s="41">
        <f t="shared" si="10"/>
        <v>45913</v>
      </c>
      <c r="D103" s="42">
        <f t="shared" si="11"/>
        <v>45926</v>
      </c>
      <c r="E103" s="42">
        <f t="shared" si="12"/>
        <v>45915</v>
      </c>
      <c r="F103" s="42">
        <f t="shared" si="13"/>
        <v>45916</v>
      </c>
      <c r="G103" s="68">
        <v>37</v>
      </c>
    </row>
    <row r="104" spans="1:7" ht="15">
      <c r="A104" s="60" t="str">
        <f t="shared" si="9"/>
        <v>Sep-14-2025 - Sep-27-2025</v>
      </c>
      <c r="B104" s="41">
        <f t="shared" si="14"/>
        <v>45914</v>
      </c>
      <c r="C104" s="41">
        <f t="shared" si="10"/>
        <v>45927</v>
      </c>
      <c r="D104" s="42">
        <f t="shared" si="11"/>
        <v>45940</v>
      </c>
      <c r="E104" s="42">
        <f t="shared" si="12"/>
        <v>45929</v>
      </c>
      <c r="F104" s="42">
        <f t="shared" si="13"/>
        <v>45930</v>
      </c>
      <c r="G104" s="68">
        <v>39</v>
      </c>
    </row>
    <row r="105" spans="1:7" ht="15">
      <c r="A105" s="60" t="str">
        <f t="shared" si="9"/>
        <v>Sep-28-2025 - Oct-11-2025</v>
      </c>
      <c r="B105" s="41">
        <f t="shared" si="14"/>
        <v>45928</v>
      </c>
      <c r="C105" s="41">
        <f t="shared" si="10"/>
        <v>45941</v>
      </c>
      <c r="D105" s="42">
        <f t="shared" si="11"/>
        <v>45954</v>
      </c>
      <c r="E105" s="42">
        <f t="shared" si="12"/>
        <v>45943</v>
      </c>
      <c r="F105" s="42">
        <f t="shared" si="13"/>
        <v>45944</v>
      </c>
      <c r="G105" s="68">
        <v>41</v>
      </c>
    </row>
    <row r="106" spans="1:7" ht="15">
      <c r="A106" s="60" t="str">
        <f t="shared" si="9"/>
        <v>Oct-12-2025 - Oct-25-2025</v>
      </c>
      <c r="B106" s="41">
        <f t="shared" si="14"/>
        <v>45942</v>
      </c>
      <c r="C106" s="41">
        <f t="shared" si="10"/>
        <v>45955</v>
      </c>
      <c r="D106" s="42">
        <f t="shared" si="11"/>
        <v>45968</v>
      </c>
      <c r="E106" s="42">
        <f t="shared" si="12"/>
        <v>45957</v>
      </c>
      <c r="F106" s="42">
        <f t="shared" si="13"/>
        <v>45958</v>
      </c>
      <c r="G106" s="68">
        <v>43</v>
      </c>
    </row>
    <row r="107" spans="1:7" ht="15">
      <c r="A107" s="60" t="str">
        <f t="shared" si="9"/>
        <v>Oct-26-2025 - Nov-08-2025</v>
      </c>
      <c r="B107" s="41">
        <f t="shared" si="14"/>
        <v>45956</v>
      </c>
      <c r="C107" s="41">
        <f t="shared" si="10"/>
        <v>45969</v>
      </c>
      <c r="D107" s="42">
        <f t="shared" si="11"/>
        <v>45982</v>
      </c>
      <c r="E107" s="42">
        <f t="shared" si="12"/>
        <v>45971</v>
      </c>
      <c r="F107" s="42">
        <f t="shared" si="13"/>
        <v>45972</v>
      </c>
      <c r="G107" s="68">
        <v>45</v>
      </c>
    </row>
    <row r="108" spans="1:7" ht="15">
      <c r="A108" s="60" t="str">
        <f t="shared" si="9"/>
        <v>Nov-09-2025 - Nov-22-2025</v>
      </c>
      <c r="B108" s="41">
        <f t="shared" si="14"/>
        <v>45970</v>
      </c>
      <c r="C108" s="41">
        <f t="shared" si="10"/>
        <v>45983</v>
      </c>
      <c r="D108" s="42">
        <f t="shared" si="11"/>
        <v>45996</v>
      </c>
      <c r="E108" s="42">
        <f t="shared" si="12"/>
        <v>45985</v>
      </c>
      <c r="F108" s="42">
        <f t="shared" si="13"/>
        <v>45986</v>
      </c>
      <c r="G108" s="68">
        <v>47</v>
      </c>
    </row>
    <row r="109" spans="1:7" ht="15">
      <c r="A109" s="60" t="str">
        <f t="shared" si="9"/>
        <v>Nov-23-2025 - Dec-06-2025</v>
      </c>
      <c r="B109" s="41">
        <f t="shared" si="14"/>
        <v>45984</v>
      </c>
      <c r="C109" s="41">
        <f t="shared" si="10"/>
        <v>45997</v>
      </c>
      <c r="D109" s="42">
        <f t="shared" si="11"/>
        <v>46010</v>
      </c>
      <c r="E109" s="42">
        <f t="shared" si="12"/>
        <v>45999</v>
      </c>
      <c r="F109" s="42">
        <f t="shared" si="13"/>
        <v>46000</v>
      </c>
      <c r="G109" s="68">
        <v>49</v>
      </c>
    </row>
    <row r="110" spans="1:7" ht="15">
      <c r="A110" s="60" t="str">
        <f t="shared" si="9"/>
        <v>Dec-07-2025 - Dec-20-2025</v>
      </c>
      <c r="B110" s="41">
        <f t="shared" si="14"/>
        <v>45998</v>
      </c>
      <c r="C110" s="41">
        <f t="shared" si="10"/>
        <v>46011</v>
      </c>
      <c r="D110" s="42">
        <f t="shared" si="11"/>
        <v>46024</v>
      </c>
      <c r="E110" s="42">
        <f t="shared" si="12"/>
        <v>46013</v>
      </c>
      <c r="F110" s="42">
        <f t="shared" si="13"/>
        <v>46014</v>
      </c>
      <c r="G110" s="68">
        <v>51</v>
      </c>
    </row>
    <row r="111" spans="1:7" ht="15">
      <c r="A111" s="60" t="str">
        <f t="shared" si="9"/>
        <v>Dec-21-2025 - Jan-03-2026</v>
      </c>
      <c r="B111" s="41">
        <f t="shared" si="14"/>
        <v>46012</v>
      </c>
      <c r="C111" s="41">
        <f t="shared" si="10"/>
        <v>46025</v>
      </c>
      <c r="D111" s="42">
        <f t="shared" si="11"/>
        <v>46038</v>
      </c>
      <c r="E111" s="42">
        <f t="shared" si="12"/>
        <v>46027</v>
      </c>
      <c r="F111" s="42">
        <f t="shared" si="13"/>
        <v>46028</v>
      </c>
      <c r="G111" s="68">
        <v>1</v>
      </c>
    </row>
    <row r="112" spans="1:7" ht="15">
      <c r="A112" s="60" t="str">
        <f t="shared" si="9"/>
        <v>Jan-04-2026 - Jan-17-2026</v>
      </c>
      <c r="B112" s="41">
        <f t="shared" si="14"/>
        <v>46026</v>
      </c>
      <c r="C112" s="41">
        <f t="shared" si="10"/>
        <v>46039</v>
      </c>
      <c r="D112" s="42">
        <f t="shared" si="11"/>
        <v>46052</v>
      </c>
      <c r="E112" s="42">
        <f t="shared" si="12"/>
        <v>46041</v>
      </c>
      <c r="F112" s="42">
        <f t="shared" si="13"/>
        <v>46042</v>
      </c>
      <c r="G112" s="68">
        <v>3</v>
      </c>
    </row>
    <row r="113" spans="1:7" ht="15">
      <c r="A113" s="60" t="str">
        <f t="shared" si="9"/>
        <v>Jan-18-2026 - Jan-31-2026</v>
      </c>
      <c r="B113" s="41">
        <f t="shared" si="14"/>
        <v>46040</v>
      </c>
      <c r="C113" s="41">
        <f t="shared" si="10"/>
        <v>46053</v>
      </c>
      <c r="D113" s="42">
        <f t="shared" si="11"/>
        <v>46066</v>
      </c>
      <c r="E113" s="42">
        <f t="shared" si="12"/>
        <v>46055</v>
      </c>
      <c r="F113" s="42">
        <f t="shared" si="13"/>
        <v>46056</v>
      </c>
      <c r="G113" s="68">
        <v>5</v>
      </c>
    </row>
    <row r="114" spans="1:7" ht="15">
      <c r="A114" s="60" t="str">
        <f aca="true" t="shared" si="15" ref="A114:A137">CONCATENATE(TEXT(B114,"mmm-dd-yyyy")," - ",(TEXT(C114,"mmm-dd-yyyy")))</f>
        <v>Feb-01-2026 - Feb-14-2026</v>
      </c>
      <c r="B114" s="41">
        <f t="shared" si="14"/>
        <v>46054</v>
      </c>
      <c r="C114" s="41">
        <f aca="true" t="shared" si="16" ref="C114:C137">B114+13</f>
        <v>46067</v>
      </c>
      <c r="D114" s="42">
        <f aca="true" t="shared" si="17" ref="D114:D137">C114+13</f>
        <v>46080</v>
      </c>
      <c r="E114" s="42">
        <f aca="true" t="shared" si="18" ref="E114:E137">C114+2</f>
        <v>46069</v>
      </c>
      <c r="F114" s="42">
        <f aca="true" t="shared" si="19" ref="F114:F137">E114+1</f>
        <v>46070</v>
      </c>
      <c r="G114" s="68">
        <v>7</v>
      </c>
    </row>
    <row r="115" spans="1:7" ht="15">
      <c r="A115" s="60" t="str">
        <f t="shared" si="15"/>
        <v>Feb-15-2026 - Feb-28-2026</v>
      </c>
      <c r="B115" s="41">
        <f t="shared" si="14"/>
        <v>46068</v>
      </c>
      <c r="C115" s="41">
        <f t="shared" si="16"/>
        <v>46081</v>
      </c>
      <c r="D115" s="42">
        <f t="shared" si="17"/>
        <v>46094</v>
      </c>
      <c r="E115" s="42">
        <f t="shared" si="18"/>
        <v>46083</v>
      </c>
      <c r="F115" s="42">
        <f t="shared" si="19"/>
        <v>46084</v>
      </c>
      <c r="G115" s="68">
        <v>9</v>
      </c>
    </row>
    <row r="116" spans="1:7" ht="15">
      <c r="A116" s="60" t="str">
        <f t="shared" si="15"/>
        <v>Mar-01-2026 - Mar-14-2026</v>
      </c>
      <c r="B116" s="41">
        <f t="shared" si="14"/>
        <v>46082</v>
      </c>
      <c r="C116" s="41">
        <f t="shared" si="16"/>
        <v>46095</v>
      </c>
      <c r="D116" s="42">
        <f t="shared" si="17"/>
        <v>46108</v>
      </c>
      <c r="E116" s="42">
        <f t="shared" si="18"/>
        <v>46097</v>
      </c>
      <c r="F116" s="42">
        <f t="shared" si="19"/>
        <v>46098</v>
      </c>
      <c r="G116" s="68">
        <v>11</v>
      </c>
    </row>
    <row r="117" spans="1:7" ht="15">
      <c r="A117" s="60" t="str">
        <f t="shared" si="15"/>
        <v>Mar-15-2026 - Mar-28-2026</v>
      </c>
      <c r="B117" s="41">
        <f t="shared" si="14"/>
        <v>46096</v>
      </c>
      <c r="C117" s="41">
        <f t="shared" si="16"/>
        <v>46109</v>
      </c>
      <c r="D117" s="42">
        <f t="shared" si="17"/>
        <v>46122</v>
      </c>
      <c r="E117" s="42">
        <f t="shared" si="18"/>
        <v>46111</v>
      </c>
      <c r="F117" s="42">
        <f t="shared" si="19"/>
        <v>46112</v>
      </c>
      <c r="G117" s="68">
        <v>13</v>
      </c>
    </row>
    <row r="118" spans="1:7" ht="15">
      <c r="A118" s="60" t="str">
        <f t="shared" si="15"/>
        <v>Mar-29-2026 - Apr-11-2026</v>
      </c>
      <c r="B118" s="41">
        <f t="shared" si="14"/>
        <v>46110</v>
      </c>
      <c r="C118" s="41">
        <f t="shared" si="16"/>
        <v>46123</v>
      </c>
      <c r="D118" s="42">
        <f t="shared" si="17"/>
        <v>46136</v>
      </c>
      <c r="E118" s="42">
        <f t="shared" si="18"/>
        <v>46125</v>
      </c>
      <c r="F118" s="42">
        <f t="shared" si="19"/>
        <v>46126</v>
      </c>
      <c r="G118" s="68">
        <v>15</v>
      </c>
    </row>
    <row r="119" spans="1:7" ht="15">
      <c r="A119" s="60" t="str">
        <f t="shared" si="15"/>
        <v>Apr-12-2026 - Apr-25-2026</v>
      </c>
      <c r="B119" s="41">
        <f t="shared" si="14"/>
        <v>46124</v>
      </c>
      <c r="C119" s="41">
        <f t="shared" si="16"/>
        <v>46137</v>
      </c>
      <c r="D119" s="42">
        <f t="shared" si="17"/>
        <v>46150</v>
      </c>
      <c r="E119" s="42">
        <f t="shared" si="18"/>
        <v>46139</v>
      </c>
      <c r="F119" s="42">
        <f t="shared" si="19"/>
        <v>46140</v>
      </c>
      <c r="G119" s="68">
        <v>17</v>
      </c>
    </row>
    <row r="120" spans="1:7" ht="15">
      <c r="A120" s="60" t="str">
        <f t="shared" si="15"/>
        <v>Apr-26-2026 - May-09-2026</v>
      </c>
      <c r="B120" s="41">
        <f t="shared" si="14"/>
        <v>46138</v>
      </c>
      <c r="C120" s="41">
        <f t="shared" si="16"/>
        <v>46151</v>
      </c>
      <c r="D120" s="42">
        <f t="shared" si="17"/>
        <v>46164</v>
      </c>
      <c r="E120" s="42">
        <f t="shared" si="18"/>
        <v>46153</v>
      </c>
      <c r="F120" s="42">
        <f t="shared" si="19"/>
        <v>46154</v>
      </c>
      <c r="G120" s="68">
        <v>19</v>
      </c>
    </row>
    <row r="121" spans="1:7" ht="15">
      <c r="A121" s="60" t="str">
        <f t="shared" si="15"/>
        <v>May-10-2026 - May-23-2026</v>
      </c>
      <c r="B121" s="41">
        <f t="shared" si="14"/>
        <v>46152</v>
      </c>
      <c r="C121" s="41">
        <f t="shared" si="16"/>
        <v>46165</v>
      </c>
      <c r="D121" s="42">
        <f t="shared" si="17"/>
        <v>46178</v>
      </c>
      <c r="E121" s="42">
        <f t="shared" si="18"/>
        <v>46167</v>
      </c>
      <c r="F121" s="42">
        <f t="shared" si="19"/>
        <v>46168</v>
      </c>
      <c r="G121" s="68">
        <v>21</v>
      </c>
    </row>
    <row r="122" spans="1:7" ht="15">
      <c r="A122" s="60" t="str">
        <f t="shared" si="15"/>
        <v>May-24-2026 - Jun-06-2026</v>
      </c>
      <c r="B122" s="41">
        <f t="shared" si="14"/>
        <v>46166</v>
      </c>
      <c r="C122" s="41">
        <f t="shared" si="16"/>
        <v>46179</v>
      </c>
      <c r="D122" s="42">
        <f t="shared" si="17"/>
        <v>46192</v>
      </c>
      <c r="E122" s="42">
        <f t="shared" si="18"/>
        <v>46181</v>
      </c>
      <c r="F122" s="42">
        <f t="shared" si="19"/>
        <v>46182</v>
      </c>
      <c r="G122" s="68">
        <v>23</v>
      </c>
    </row>
    <row r="123" spans="1:7" ht="15">
      <c r="A123" s="60" t="str">
        <f t="shared" si="15"/>
        <v>Jun-07-2026 - Jun-20-2026</v>
      </c>
      <c r="B123" s="41">
        <f t="shared" si="14"/>
        <v>46180</v>
      </c>
      <c r="C123" s="41">
        <f t="shared" si="16"/>
        <v>46193</v>
      </c>
      <c r="D123" s="42">
        <f t="shared" si="17"/>
        <v>46206</v>
      </c>
      <c r="E123" s="42">
        <f t="shared" si="18"/>
        <v>46195</v>
      </c>
      <c r="F123" s="42">
        <f t="shared" si="19"/>
        <v>46196</v>
      </c>
      <c r="G123" s="68">
        <v>25</v>
      </c>
    </row>
    <row r="124" spans="1:7" ht="15">
      <c r="A124" s="60" t="str">
        <f t="shared" si="15"/>
        <v>Jun-21-2026 - Jul-04-2026</v>
      </c>
      <c r="B124" s="41">
        <f t="shared" si="14"/>
        <v>46194</v>
      </c>
      <c r="C124" s="41">
        <f t="shared" si="16"/>
        <v>46207</v>
      </c>
      <c r="D124" s="42">
        <f t="shared" si="17"/>
        <v>46220</v>
      </c>
      <c r="E124" s="42">
        <f t="shared" si="18"/>
        <v>46209</v>
      </c>
      <c r="F124" s="42">
        <f t="shared" si="19"/>
        <v>46210</v>
      </c>
      <c r="G124" s="68">
        <v>27</v>
      </c>
    </row>
    <row r="125" spans="1:7" ht="15">
      <c r="A125" s="60" t="str">
        <f t="shared" si="15"/>
        <v>Jul-05-2026 - Jul-18-2026</v>
      </c>
      <c r="B125" s="41">
        <f t="shared" si="14"/>
        <v>46208</v>
      </c>
      <c r="C125" s="41">
        <f t="shared" si="16"/>
        <v>46221</v>
      </c>
      <c r="D125" s="42">
        <f t="shared" si="17"/>
        <v>46234</v>
      </c>
      <c r="E125" s="42">
        <f t="shared" si="18"/>
        <v>46223</v>
      </c>
      <c r="F125" s="42">
        <f t="shared" si="19"/>
        <v>46224</v>
      </c>
      <c r="G125" s="68">
        <v>29</v>
      </c>
    </row>
    <row r="126" spans="1:7" ht="15">
      <c r="A126" s="60" t="str">
        <f t="shared" si="15"/>
        <v>Jul-19-2026 - Aug-01-2026</v>
      </c>
      <c r="B126" s="41">
        <f t="shared" si="14"/>
        <v>46222</v>
      </c>
      <c r="C126" s="41">
        <f t="shared" si="16"/>
        <v>46235</v>
      </c>
      <c r="D126" s="42">
        <f t="shared" si="17"/>
        <v>46248</v>
      </c>
      <c r="E126" s="42">
        <f t="shared" si="18"/>
        <v>46237</v>
      </c>
      <c r="F126" s="42">
        <f t="shared" si="19"/>
        <v>46238</v>
      </c>
      <c r="G126" s="68">
        <v>31</v>
      </c>
    </row>
    <row r="127" spans="1:7" ht="15">
      <c r="A127" s="60" t="str">
        <f t="shared" si="15"/>
        <v>Aug-02-2026 - Aug-15-2026</v>
      </c>
      <c r="B127" s="41">
        <f t="shared" si="14"/>
        <v>46236</v>
      </c>
      <c r="C127" s="41">
        <f t="shared" si="16"/>
        <v>46249</v>
      </c>
      <c r="D127" s="42">
        <f t="shared" si="17"/>
        <v>46262</v>
      </c>
      <c r="E127" s="42">
        <f t="shared" si="18"/>
        <v>46251</v>
      </c>
      <c r="F127" s="42">
        <f t="shared" si="19"/>
        <v>46252</v>
      </c>
      <c r="G127" s="68">
        <v>33</v>
      </c>
    </row>
    <row r="128" spans="1:7" ht="15">
      <c r="A128" s="60" t="str">
        <f t="shared" si="15"/>
        <v>Aug-16-2026 - Aug-29-2026</v>
      </c>
      <c r="B128" s="41">
        <f t="shared" si="14"/>
        <v>46250</v>
      </c>
      <c r="C128" s="41">
        <f t="shared" si="16"/>
        <v>46263</v>
      </c>
      <c r="D128" s="42">
        <f t="shared" si="17"/>
        <v>46276</v>
      </c>
      <c r="E128" s="42">
        <f t="shared" si="18"/>
        <v>46265</v>
      </c>
      <c r="F128" s="42">
        <f t="shared" si="19"/>
        <v>46266</v>
      </c>
      <c r="G128" s="68">
        <v>35</v>
      </c>
    </row>
    <row r="129" spans="1:7" ht="15">
      <c r="A129" s="60" t="str">
        <f t="shared" si="15"/>
        <v>Aug-30-2026 - Sep-12-2026</v>
      </c>
      <c r="B129" s="41">
        <f t="shared" si="14"/>
        <v>46264</v>
      </c>
      <c r="C129" s="41">
        <f t="shared" si="16"/>
        <v>46277</v>
      </c>
      <c r="D129" s="42">
        <f t="shared" si="17"/>
        <v>46290</v>
      </c>
      <c r="E129" s="42">
        <f t="shared" si="18"/>
        <v>46279</v>
      </c>
      <c r="F129" s="42">
        <f t="shared" si="19"/>
        <v>46280</v>
      </c>
      <c r="G129" s="68">
        <v>37</v>
      </c>
    </row>
    <row r="130" spans="1:7" ht="15">
      <c r="A130" s="60" t="str">
        <f t="shared" si="15"/>
        <v>Sep-13-2026 - Sep-26-2026</v>
      </c>
      <c r="B130" s="41">
        <f t="shared" si="14"/>
        <v>46278</v>
      </c>
      <c r="C130" s="41">
        <f t="shared" si="16"/>
        <v>46291</v>
      </c>
      <c r="D130" s="42">
        <f t="shared" si="17"/>
        <v>46304</v>
      </c>
      <c r="E130" s="42">
        <f t="shared" si="18"/>
        <v>46293</v>
      </c>
      <c r="F130" s="42">
        <f t="shared" si="19"/>
        <v>46294</v>
      </c>
      <c r="G130" s="68">
        <v>39</v>
      </c>
    </row>
    <row r="131" spans="1:7" ht="15">
      <c r="A131" s="60" t="str">
        <f t="shared" si="15"/>
        <v>Sep-27-2026 - Oct-10-2026</v>
      </c>
      <c r="B131" s="41">
        <f t="shared" si="14"/>
        <v>46292</v>
      </c>
      <c r="C131" s="41">
        <f t="shared" si="16"/>
        <v>46305</v>
      </c>
      <c r="D131" s="42">
        <f t="shared" si="17"/>
        <v>46318</v>
      </c>
      <c r="E131" s="42">
        <f t="shared" si="18"/>
        <v>46307</v>
      </c>
      <c r="F131" s="42">
        <f t="shared" si="19"/>
        <v>46308</v>
      </c>
      <c r="G131" s="68">
        <v>41</v>
      </c>
    </row>
    <row r="132" spans="1:7" ht="15">
      <c r="A132" s="60" t="str">
        <f t="shared" si="15"/>
        <v>Oct-11-2026 - Oct-24-2026</v>
      </c>
      <c r="B132" s="41">
        <f t="shared" si="14"/>
        <v>46306</v>
      </c>
      <c r="C132" s="41">
        <f t="shared" si="16"/>
        <v>46319</v>
      </c>
      <c r="D132" s="42">
        <f t="shared" si="17"/>
        <v>46332</v>
      </c>
      <c r="E132" s="42">
        <f t="shared" si="18"/>
        <v>46321</v>
      </c>
      <c r="F132" s="42">
        <f t="shared" si="19"/>
        <v>46322</v>
      </c>
      <c r="G132" s="68">
        <v>43</v>
      </c>
    </row>
    <row r="133" spans="1:7" ht="15">
      <c r="A133" s="60" t="str">
        <f t="shared" si="15"/>
        <v>Oct-25-2026 - Nov-07-2026</v>
      </c>
      <c r="B133" s="41">
        <f t="shared" si="14"/>
        <v>46320</v>
      </c>
      <c r="C133" s="41">
        <f t="shared" si="16"/>
        <v>46333</v>
      </c>
      <c r="D133" s="42">
        <f t="shared" si="17"/>
        <v>46346</v>
      </c>
      <c r="E133" s="42">
        <f t="shared" si="18"/>
        <v>46335</v>
      </c>
      <c r="F133" s="42">
        <f t="shared" si="19"/>
        <v>46336</v>
      </c>
      <c r="G133" s="68">
        <v>45</v>
      </c>
    </row>
    <row r="134" spans="1:7" ht="15">
      <c r="A134" s="60" t="str">
        <f t="shared" si="15"/>
        <v>Nov-08-2026 - Nov-21-2026</v>
      </c>
      <c r="B134" s="41">
        <f t="shared" si="14"/>
        <v>46334</v>
      </c>
      <c r="C134" s="41">
        <f t="shared" si="16"/>
        <v>46347</v>
      </c>
      <c r="D134" s="42">
        <f t="shared" si="17"/>
        <v>46360</v>
      </c>
      <c r="E134" s="42">
        <f t="shared" si="18"/>
        <v>46349</v>
      </c>
      <c r="F134" s="42">
        <f t="shared" si="19"/>
        <v>46350</v>
      </c>
      <c r="G134" s="68">
        <v>47</v>
      </c>
    </row>
    <row r="135" spans="1:7" ht="15">
      <c r="A135" s="60" t="str">
        <f t="shared" si="15"/>
        <v>Nov-22-2026 - Dec-05-2026</v>
      </c>
      <c r="B135" s="41">
        <f t="shared" si="14"/>
        <v>46348</v>
      </c>
      <c r="C135" s="41">
        <f t="shared" si="16"/>
        <v>46361</v>
      </c>
      <c r="D135" s="42">
        <f t="shared" si="17"/>
        <v>46374</v>
      </c>
      <c r="E135" s="42">
        <f t="shared" si="18"/>
        <v>46363</v>
      </c>
      <c r="F135" s="42">
        <f t="shared" si="19"/>
        <v>46364</v>
      </c>
      <c r="G135" s="68">
        <v>49</v>
      </c>
    </row>
    <row r="136" spans="1:7" ht="15">
      <c r="A136" s="60" t="str">
        <f t="shared" si="15"/>
        <v>Dec-06-2026 - Dec-19-2026</v>
      </c>
      <c r="B136" s="41">
        <f t="shared" si="14"/>
        <v>46362</v>
      </c>
      <c r="C136" s="41">
        <f t="shared" si="16"/>
        <v>46375</v>
      </c>
      <c r="D136" s="42">
        <f t="shared" si="17"/>
        <v>46388</v>
      </c>
      <c r="E136" s="42">
        <f t="shared" si="18"/>
        <v>46377</v>
      </c>
      <c r="F136" s="42">
        <f t="shared" si="19"/>
        <v>46378</v>
      </c>
      <c r="G136" s="68">
        <v>51</v>
      </c>
    </row>
    <row r="137" spans="1:7" ht="15">
      <c r="A137" s="60" t="str">
        <f t="shared" si="15"/>
        <v>Dec-20-2026 - Jan-02-2027</v>
      </c>
      <c r="B137" s="41">
        <f t="shared" si="14"/>
        <v>46376</v>
      </c>
      <c r="C137" s="41">
        <f t="shared" si="16"/>
        <v>46389</v>
      </c>
      <c r="D137" s="42">
        <f t="shared" si="17"/>
        <v>46402</v>
      </c>
      <c r="E137" s="42">
        <f t="shared" si="18"/>
        <v>46391</v>
      </c>
      <c r="F137" s="42">
        <f t="shared" si="19"/>
        <v>46392</v>
      </c>
      <c r="G137" s="68">
        <v>1</v>
      </c>
    </row>
    <row r="138" spans="1:7" ht="15">
      <c r="A138" s="60"/>
      <c r="B138" s="41"/>
      <c r="C138" s="41"/>
      <c r="D138" s="42"/>
      <c r="E138" s="42"/>
      <c r="F138" s="42"/>
      <c r="G138" s="68"/>
    </row>
    <row r="139" spans="1:7" ht="15">
      <c r="A139" s="60"/>
      <c r="B139" s="41"/>
      <c r="C139" s="41"/>
      <c r="D139" s="42"/>
      <c r="E139" s="42"/>
      <c r="F139" s="42"/>
      <c r="G139" s="68"/>
    </row>
    <row r="140" spans="1:7" ht="15">
      <c r="A140" s="60"/>
      <c r="B140" s="41"/>
      <c r="C140" s="41"/>
      <c r="D140" s="42"/>
      <c r="E140" s="42"/>
      <c r="F140" s="42"/>
      <c r="G140" s="68"/>
    </row>
    <row r="141" spans="1:7" ht="15">
      <c r="A141" s="60"/>
      <c r="B141" s="41"/>
      <c r="C141" s="41"/>
      <c r="D141" s="42"/>
      <c r="E141" s="42"/>
      <c r="F141" s="42"/>
      <c r="G141" s="68"/>
    </row>
    <row r="142" spans="1:7" ht="15">
      <c r="A142" s="60"/>
      <c r="B142" s="41"/>
      <c r="C142" s="41"/>
      <c r="D142" s="42"/>
      <c r="E142" s="42"/>
      <c r="F142" s="42"/>
      <c r="G142" s="68"/>
    </row>
    <row r="143" spans="1:7" ht="15">
      <c r="A143" s="60"/>
      <c r="B143" s="41"/>
      <c r="C143" s="41"/>
      <c r="D143" s="42"/>
      <c r="E143" s="42"/>
      <c r="F143" s="42"/>
      <c r="G143" s="68"/>
    </row>
    <row r="144" spans="1:7" ht="15">
      <c r="A144" s="60"/>
      <c r="B144" s="41"/>
      <c r="C144" s="41"/>
      <c r="D144" s="42"/>
      <c r="E144" s="42"/>
      <c r="F144" s="42"/>
      <c r="G144" s="68"/>
    </row>
    <row r="145" spans="1:7" ht="15">
      <c r="A145" s="60"/>
      <c r="B145" s="41"/>
      <c r="C145" s="41"/>
      <c r="D145" s="42"/>
      <c r="E145" s="42"/>
      <c r="F145" s="42"/>
      <c r="G145" s="68"/>
    </row>
    <row r="146" spans="1:7" ht="15">
      <c r="A146" s="60"/>
      <c r="B146" s="41"/>
      <c r="C146" s="41"/>
      <c r="D146" s="42"/>
      <c r="E146" s="42"/>
      <c r="F146" s="42"/>
      <c r="G146" s="68"/>
    </row>
    <row r="147" spans="1:7" ht="15">
      <c r="A147" s="60"/>
      <c r="B147" s="41"/>
      <c r="C147" s="41"/>
      <c r="D147" s="42"/>
      <c r="E147" s="42"/>
      <c r="F147" s="42"/>
      <c r="G147" s="68"/>
    </row>
    <row r="148" spans="1:7" ht="15">
      <c r="A148" s="60"/>
      <c r="B148" s="41"/>
      <c r="C148" s="41"/>
      <c r="D148" s="42"/>
      <c r="E148" s="42"/>
      <c r="F148" s="42"/>
      <c r="G148" s="68"/>
    </row>
    <row r="149" spans="1:7" ht="15">
      <c r="A149" s="60"/>
      <c r="B149" s="41"/>
      <c r="C149" s="41"/>
      <c r="D149" s="42"/>
      <c r="E149" s="42"/>
      <c r="F149" s="42"/>
      <c r="G149" s="68"/>
    </row>
    <row r="150" spans="1:7" ht="15">
      <c r="A150" s="60"/>
      <c r="B150" s="41"/>
      <c r="C150" s="41"/>
      <c r="D150" s="42"/>
      <c r="E150" s="42"/>
      <c r="F150" s="42"/>
      <c r="G150" s="68"/>
    </row>
    <row r="151" spans="1:7" ht="15">
      <c r="A151" s="60"/>
      <c r="B151" s="41"/>
      <c r="C151" s="41"/>
      <c r="D151" s="42"/>
      <c r="E151" s="42"/>
      <c r="F151" s="42"/>
      <c r="G151" s="68"/>
    </row>
    <row r="152" spans="1:7" ht="15">
      <c r="A152" s="60"/>
      <c r="B152" s="41"/>
      <c r="C152" s="41"/>
      <c r="D152" s="42"/>
      <c r="E152" s="42"/>
      <c r="F152" s="42"/>
      <c r="G152" s="68"/>
    </row>
    <row r="153" spans="1:7" ht="15">
      <c r="A153" s="60"/>
      <c r="B153" s="41"/>
      <c r="C153" s="41"/>
      <c r="D153" s="42"/>
      <c r="E153" s="42"/>
      <c r="F153" s="42"/>
      <c r="G153" s="68"/>
    </row>
    <row r="154" spans="1:7" ht="15">
      <c r="A154" s="60"/>
      <c r="B154" s="41"/>
      <c r="C154" s="41"/>
      <c r="D154" s="42"/>
      <c r="E154" s="42"/>
      <c r="F154" s="42"/>
      <c r="G154" s="68"/>
    </row>
    <row r="155" spans="1:7" ht="15">
      <c r="A155" s="60"/>
      <c r="B155" s="41"/>
      <c r="C155" s="41"/>
      <c r="D155" s="42"/>
      <c r="E155" s="42"/>
      <c r="F155" s="42"/>
      <c r="G155" s="68"/>
    </row>
    <row r="157" spans="1:6" ht="15">
      <c r="A157" s="570" t="s">
        <v>272</v>
      </c>
      <c r="B157" s="43"/>
      <c r="C157" s="43"/>
      <c r="D157" s="43"/>
      <c r="E157" s="43"/>
      <c r="F157" s="43"/>
    </row>
    <row r="158" spans="1:6" ht="18.75">
      <c r="A158" s="48" t="s">
        <v>111</v>
      </c>
      <c r="B158" s="49">
        <v>44556</v>
      </c>
      <c r="C158" s="43" t="s">
        <v>538</v>
      </c>
      <c r="D158" s="43" t="s">
        <v>541</v>
      </c>
      <c r="E158" s="43"/>
      <c r="F158" s="43"/>
    </row>
    <row r="159" spans="1:6" ht="15.75" thickBot="1">
      <c r="A159" s="50"/>
      <c r="B159" s="51"/>
      <c r="C159" s="52"/>
      <c r="D159" s="52"/>
      <c r="E159" s="50" t="s">
        <v>32</v>
      </c>
      <c r="F159" s="51"/>
    </row>
    <row r="160" spans="1:7" ht="17.25" thickBot="1">
      <c r="A160" s="53" t="s">
        <v>114</v>
      </c>
      <c r="B160" s="54" t="s">
        <v>112</v>
      </c>
      <c r="C160" s="55" t="s">
        <v>113</v>
      </c>
      <c r="D160" s="55" t="s">
        <v>148</v>
      </c>
      <c r="E160" s="53" t="s">
        <v>156</v>
      </c>
      <c r="F160" s="56" t="s">
        <v>157</v>
      </c>
      <c r="G160" s="21" t="s">
        <v>223</v>
      </c>
    </row>
    <row r="161" spans="1:6" ht="15">
      <c r="A161" s="57" t="s">
        <v>161</v>
      </c>
      <c r="B161" s="38"/>
      <c r="C161" s="39"/>
      <c r="D161" s="39"/>
      <c r="E161" s="37"/>
      <c r="F161" s="38"/>
    </row>
    <row r="162" spans="1:7" ht="12.75">
      <c r="A162" s="309" t="str">
        <f aca="true" t="shared" si="20" ref="A162:A172">CONCATENATE(TEXT(B162,"mmm-dd-yyyy")," - ",(TEXT(C162,"mmm-dd-yyyy")))</f>
        <v>Dec-26-2021 - Jan-01-2022</v>
      </c>
      <c r="B162" s="234">
        <f>B158</f>
        <v>44556</v>
      </c>
      <c r="C162" s="234">
        <f>B162+6</f>
        <v>44562</v>
      </c>
      <c r="D162" s="235">
        <f>C163+13</f>
        <v>44582</v>
      </c>
      <c r="E162" s="235">
        <f aca="true" t="shared" si="21" ref="E162:E225">C162+2</f>
        <v>44564</v>
      </c>
      <c r="F162" s="235">
        <f>E162+1</f>
        <v>44565</v>
      </c>
      <c r="G162" s="236">
        <v>1</v>
      </c>
    </row>
    <row r="163" spans="1:7" ht="12.75">
      <c r="A163" s="309" t="str">
        <f t="shared" si="20"/>
        <v>Jan-02-2022 - Jan-08-2022</v>
      </c>
      <c r="B163" s="234">
        <f>B162+7</f>
        <v>44563</v>
      </c>
      <c r="C163" s="234">
        <f>B163+6</f>
        <v>44569</v>
      </c>
      <c r="D163" s="235">
        <f>D162</f>
        <v>44582</v>
      </c>
      <c r="E163" s="235">
        <f t="shared" si="21"/>
        <v>44571</v>
      </c>
      <c r="F163" s="235">
        <f aca="true" t="shared" si="22" ref="F163:F226">E163+1</f>
        <v>44572</v>
      </c>
      <c r="G163" s="236">
        <v>2</v>
      </c>
    </row>
    <row r="164" spans="1:7" ht="12.75">
      <c r="A164" s="150" t="str">
        <f t="shared" si="20"/>
        <v>Jan-09-2022 - Jan-15-2022</v>
      </c>
      <c r="B164" s="41">
        <f>B163+7</f>
        <v>44570</v>
      </c>
      <c r="C164" s="41">
        <f>B164+6</f>
        <v>44576</v>
      </c>
      <c r="D164" s="42">
        <f>C165+13</f>
        <v>44596</v>
      </c>
      <c r="E164" s="42">
        <f t="shared" si="21"/>
        <v>44578</v>
      </c>
      <c r="F164" s="42">
        <f t="shared" si="22"/>
        <v>44579</v>
      </c>
      <c r="G164" s="68">
        <v>3</v>
      </c>
    </row>
    <row r="165" spans="1:7" ht="12.75">
      <c r="A165" s="150" t="str">
        <f t="shared" si="20"/>
        <v>Jan-16-2022 - Jan-22-2022</v>
      </c>
      <c r="B165" s="41">
        <f>B164+7</f>
        <v>44577</v>
      </c>
      <c r="C165" s="41">
        <f>B165+6</f>
        <v>44583</v>
      </c>
      <c r="D165" s="42">
        <f>D164</f>
        <v>44596</v>
      </c>
      <c r="E165" s="42">
        <f t="shared" si="21"/>
        <v>44585</v>
      </c>
      <c r="F165" s="42">
        <f t="shared" si="22"/>
        <v>44586</v>
      </c>
      <c r="G165" s="68">
        <v>4</v>
      </c>
    </row>
    <row r="166" spans="1:7" ht="12.75">
      <c r="A166" s="309" t="str">
        <f t="shared" si="20"/>
        <v>Jan-23-2022 - Jan-29-2022</v>
      </c>
      <c r="B166" s="234">
        <f>B165+7</f>
        <v>44584</v>
      </c>
      <c r="C166" s="234">
        <f aca="true" t="shared" si="23" ref="C166:C231">B166+6</f>
        <v>44590</v>
      </c>
      <c r="D166" s="235">
        <f>C167+13</f>
        <v>44610</v>
      </c>
      <c r="E166" s="235">
        <f t="shared" si="21"/>
        <v>44592</v>
      </c>
      <c r="F166" s="235">
        <f t="shared" si="22"/>
        <v>44593</v>
      </c>
      <c r="G166" s="236">
        <v>5</v>
      </c>
    </row>
    <row r="167" spans="1:7" ht="12.75">
      <c r="A167" s="309" t="str">
        <f t="shared" si="20"/>
        <v>Jan-30-2022 - Feb-05-2022</v>
      </c>
      <c r="B167" s="234">
        <f aca="true" t="shared" si="24" ref="B167:B231">B166+7</f>
        <v>44591</v>
      </c>
      <c r="C167" s="234">
        <f t="shared" si="23"/>
        <v>44597</v>
      </c>
      <c r="D167" s="235">
        <f>D166</f>
        <v>44610</v>
      </c>
      <c r="E167" s="235">
        <f t="shared" si="21"/>
        <v>44599</v>
      </c>
      <c r="F167" s="235">
        <f t="shared" si="22"/>
        <v>44600</v>
      </c>
      <c r="G167" s="236">
        <v>6</v>
      </c>
    </row>
    <row r="168" spans="1:7" ht="12.75">
      <c r="A168" s="150" t="str">
        <f t="shared" si="20"/>
        <v>Feb-06-2022 - Feb-12-2022</v>
      </c>
      <c r="B168" s="41">
        <f t="shared" si="24"/>
        <v>44598</v>
      </c>
      <c r="C168" s="41">
        <f t="shared" si="23"/>
        <v>44604</v>
      </c>
      <c r="D168" s="42">
        <f>C169+13</f>
        <v>44624</v>
      </c>
      <c r="E168" s="42">
        <f t="shared" si="21"/>
        <v>44606</v>
      </c>
      <c r="F168" s="42">
        <f t="shared" si="22"/>
        <v>44607</v>
      </c>
      <c r="G168" s="68">
        <v>7</v>
      </c>
    </row>
    <row r="169" spans="1:7" ht="12.75">
      <c r="A169" s="150" t="str">
        <f t="shared" si="20"/>
        <v>Feb-13-2022 - Feb-19-2022</v>
      </c>
      <c r="B169" s="41">
        <f t="shared" si="24"/>
        <v>44605</v>
      </c>
      <c r="C169" s="41">
        <f t="shared" si="23"/>
        <v>44611</v>
      </c>
      <c r="D169" s="42">
        <f>D168</f>
        <v>44624</v>
      </c>
      <c r="E169" s="42">
        <f t="shared" si="21"/>
        <v>44613</v>
      </c>
      <c r="F169" s="42">
        <f t="shared" si="22"/>
        <v>44614</v>
      </c>
      <c r="G169" s="68">
        <v>8</v>
      </c>
    </row>
    <row r="170" spans="1:7" ht="12.75">
      <c r="A170" s="309" t="str">
        <f t="shared" si="20"/>
        <v>Feb-20-2022 - Feb-26-2022</v>
      </c>
      <c r="B170" s="234">
        <f t="shared" si="24"/>
        <v>44612</v>
      </c>
      <c r="C170" s="234">
        <f t="shared" si="23"/>
        <v>44618</v>
      </c>
      <c r="D170" s="235">
        <f>C171+13</f>
        <v>44638</v>
      </c>
      <c r="E170" s="235">
        <f t="shared" si="21"/>
        <v>44620</v>
      </c>
      <c r="F170" s="235">
        <f t="shared" si="22"/>
        <v>44621</v>
      </c>
      <c r="G170" s="236">
        <v>9</v>
      </c>
    </row>
    <row r="171" spans="1:7" ht="12.75">
      <c r="A171" s="309" t="str">
        <f t="shared" si="20"/>
        <v>Feb-27-2022 - Mar-05-2022</v>
      </c>
      <c r="B171" s="234">
        <f t="shared" si="24"/>
        <v>44619</v>
      </c>
      <c r="C171" s="234">
        <f t="shared" si="23"/>
        <v>44625</v>
      </c>
      <c r="D171" s="235">
        <f>D170</f>
        <v>44638</v>
      </c>
      <c r="E171" s="235">
        <f t="shared" si="21"/>
        <v>44627</v>
      </c>
      <c r="F171" s="235">
        <f t="shared" si="22"/>
        <v>44628</v>
      </c>
      <c r="G171" s="236">
        <v>10</v>
      </c>
    </row>
    <row r="172" spans="1:7" ht="12.75">
      <c r="A172" s="150" t="str">
        <f t="shared" si="20"/>
        <v>Mar-06-2022 - Mar-12-2022</v>
      </c>
      <c r="B172" s="41">
        <f t="shared" si="24"/>
        <v>44626</v>
      </c>
      <c r="C172" s="41">
        <f t="shared" si="23"/>
        <v>44632</v>
      </c>
      <c r="D172" s="42">
        <f>C173+13</f>
        <v>44652</v>
      </c>
      <c r="E172" s="42">
        <f t="shared" si="21"/>
        <v>44634</v>
      </c>
      <c r="F172" s="42">
        <f t="shared" si="22"/>
        <v>44635</v>
      </c>
      <c r="G172" s="68">
        <v>11</v>
      </c>
    </row>
    <row r="173" spans="1:7" ht="12.75">
      <c r="A173" s="150" t="str">
        <f aca="true" t="shared" si="25" ref="A173:A236">CONCATENATE(TEXT(B173,"mmm-dd-yyyy")," - ",(TEXT(C173,"mmm-dd-yyyy")))</f>
        <v>Mar-13-2022 - Mar-19-2022</v>
      </c>
      <c r="B173" s="41">
        <f t="shared" si="24"/>
        <v>44633</v>
      </c>
      <c r="C173" s="41">
        <f t="shared" si="23"/>
        <v>44639</v>
      </c>
      <c r="D173" s="42">
        <f>D172</f>
        <v>44652</v>
      </c>
      <c r="E173" s="42">
        <f t="shared" si="21"/>
        <v>44641</v>
      </c>
      <c r="F173" s="42">
        <f t="shared" si="22"/>
        <v>44642</v>
      </c>
      <c r="G173" s="68">
        <v>12</v>
      </c>
    </row>
    <row r="174" spans="1:7" ht="12.75">
      <c r="A174" s="309" t="str">
        <f t="shared" si="25"/>
        <v>Mar-20-2022 - Mar-26-2022</v>
      </c>
      <c r="B174" s="234">
        <f t="shared" si="24"/>
        <v>44640</v>
      </c>
      <c r="C174" s="234">
        <f t="shared" si="23"/>
        <v>44646</v>
      </c>
      <c r="D174" s="235">
        <f>C175+13</f>
        <v>44666</v>
      </c>
      <c r="E174" s="235">
        <f t="shared" si="21"/>
        <v>44648</v>
      </c>
      <c r="F174" s="235">
        <f t="shared" si="22"/>
        <v>44649</v>
      </c>
      <c r="G174" s="236">
        <v>13</v>
      </c>
    </row>
    <row r="175" spans="1:7" ht="12.75">
      <c r="A175" s="309" t="str">
        <f t="shared" si="25"/>
        <v>Mar-27-2022 - Apr-02-2022</v>
      </c>
      <c r="B175" s="234">
        <f t="shared" si="24"/>
        <v>44647</v>
      </c>
      <c r="C175" s="234">
        <f t="shared" si="23"/>
        <v>44653</v>
      </c>
      <c r="D175" s="235">
        <f>D174</f>
        <v>44666</v>
      </c>
      <c r="E175" s="235">
        <f t="shared" si="21"/>
        <v>44655</v>
      </c>
      <c r="F175" s="235">
        <f t="shared" si="22"/>
        <v>44656</v>
      </c>
      <c r="G175" s="236">
        <v>14</v>
      </c>
    </row>
    <row r="176" spans="1:7" ht="12.75">
      <c r="A176" s="150" t="str">
        <f t="shared" si="25"/>
        <v>Apr-03-2022 - Apr-09-2022</v>
      </c>
      <c r="B176" s="41">
        <f t="shared" si="24"/>
        <v>44654</v>
      </c>
      <c r="C176" s="41">
        <f t="shared" si="23"/>
        <v>44660</v>
      </c>
      <c r="D176" s="42">
        <f>C177+13</f>
        <v>44680</v>
      </c>
      <c r="E176" s="42">
        <f t="shared" si="21"/>
        <v>44662</v>
      </c>
      <c r="F176" s="42">
        <f t="shared" si="22"/>
        <v>44663</v>
      </c>
      <c r="G176" s="68">
        <v>15</v>
      </c>
    </row>
    <row r="177" spans="1:7" ht="12.75">
      <c r="A177" s="150" t="str">
        <f t="shared" si="25"/>
        <v>Apr-10-2022 - Apr-16-2022</v>
      </c>
      <c r="B177" s="41">
        <f t="shared" si="24"/>
        <v>44661</v>
      </c>
      <c r="C177" s="41">
        <f t="shared" si="23"/>
        <v>44667</v>
      </c>
      <c r="D177" s="42">
        <f>D176</f>
        <v>44680</v>
      </c>
      <c r="E177" s="42">
        <f t="shared" si="21"/>
        <v>44669</v>
      </c>
      <c r="F177" s="42">
        <f t="shared" si="22"/>
        <v>44670</v>
      </c>
      <c r="G177" s="68">
        <v>16</v>
      </c>
    </row>
    <row r="178" spans="1:7" ht="12.75">
      <c r="A178" s="309" t="str">
        <f t="shared" si="25"/>
        <v>Apr-17-2022 - Apr-23-2022</v>
      </c>
      <c r="B178" s="234">
        <f t="shared" si="24"/>
        <v>44668</v>
      </c>
      <c r="C178" s="234">
        <f t="shared" si="23"/>
        <v>44674</v>
      </c>
      <c r="D178" s="235">
        <f>C179+13</f>
        <v>44694</v>
      </c>
      <c r="E178" s="235">
        <f t="shared" si="21"/>
        <v>44676</v>
      </c>
      <c r="F178" s="235">
        <f t="shared" si="22"/>
        <v>44677</v>
      </c>
      <c r="G178" s="236">
        <v>17</v>
      </c>
    </row>
    <row r="179" spans="1:7" ht="12.75">
      <c r="A179" s="309" t="str">
        <f t="shared" si="25"/>
        <v>Apr-24-2022 - Apr-30-2022</v>
      </c>
      <c r="B179" s="234">
        <f t="shared" si="24"/>
        <v>44675</v>
      </c>
      <c r="C179" s="234">
        <f t="shared" si="23"/>
        <v>44681</v>
      </c>
      <c r="D179" s="235">
        <f>D178</f>
        <v>44694</v>
      </c>
      <c r="E179" s="235">
        <f t="shared" si="21"/>
        <v>44683</v>
      </c>
      <c r="F179" s="235">
        <f t="shared" si="22"/>
        <v>44684</v>
      </c>
      <c r="G179" s="236">
        <v>18</v>
      </c>
    </row>
    <row r="180" spans="1:7" ht="12.75">
      <c r="A180" s="150" t="str">
        <f t="shared" si="25"/>
        <v>May-01-2022 - May-07-2022</v>
      </c>
      <c r="B180" s="41">
        <f t="shared" si="24"/>
        <v>44682</v>
      </c>
      <c r="C180" s="41">
        <f t="shared" si="23"/>
        <v>44688</v>
      </c>
      <c r="D180" s="42">
        <f>C181+13</f>
        <v>44708</v>
      </c>
      <c r="E180" s="42">
        <f t="shared" si="21"/>
        <v>44690</v>
      </c>
      <c r="F180" s="42">
        <f t="shared" si="22"/>
        <v>44691</v>
      </c>
      <c r="G180" s="68">
        <v>19</v>
      </c>
    </row>
    <row r="181" spans="1:7" ht="12.75">
      <c r="A181" s="150" t="str">
        <f t="shared" si="25"/>
        <v>May-08-2022 - May-14-2022</v>
      </c>
      <c r="B181" s="41">
        <f t="shared" si="24"/>
        <v>44689</v>
      </c>
      <c r="C181" s="41">
        <f t="shared" si="23"/>
        <v>44695</v>
      </c>
      <c r="D181" s="42">
        <f>D180</f>
        <v>44708</v>
      </c>
      <c r="E181" s="42">
        <f t="shared" si="21"/>
        <v>44697</v>
      </c>
      <c r="F181" s="42">
        <f t="shared" si="22"/>
        <v>44698</v>
      </c>
      <c r="G181" s="68">
        <v>20</v>
      </c>
    </row>
    <row r="182" spans="1:7" ht="12.75">
      <c r="A182" s="309" t="str">
        <f t="shared" si="25"/>
        <v>May-15-2022 - May-21-2022</v>
      </c>
      <c r="B182" s="234">
        <f t="shared" si="24"/>
        <v>44696</v>
      </c>
      <c r="C182" s="234">
        <f t="shared" si="23"/>
        <v>44702</v>
      </c>
      <c r="D182" s="235">
        <f>C183+13</f>
        <v>44722</v>
      </c>
      <c r="E182" s="235">
        <f t="shared" si="21"/>
        <v>44704</v>
      </c>
      <c r="F182" s="235">
        <f t="shared" si="22"/>
        <v>44705</v>
      </c>
      <c r="G182" s="236">
        <v>21</v>
      </c>
    </row>
    <row r="183" spans="1:7" ht="12.75">
      <c r="A183" s="309" t="str">
        <f t="shared" si="25"/>
        <v>May-22-2022 - May-28-2022</v>
      </c>
      <c r="B183" s="234">
        <f t="shared" si="24"/>
        <v>44703</v>
      </c>
      <c r="C183" s="234">
        <f t="shared" si="23"/>
        <v>44709</v>
      </c>
      <c r="D183" s="235">
        <f>D182</f>
        <v>44722</v>
      </c>
      <c r="E183" s="235">
        <f t="shared" si="21"/>
        <v>44711</v>
      </c>
      <c r="F183" s="235">
        <f t="shared" si="22"/>
        <v>44712</v>
      </c>
      <c r="G183" s="236">
        <v>22</v>
      </c>
    </row>
    <row r="184" spans="1:7" ht="12.75">
      <c r="A184" s="150" t="str">
        <f t="shared" si="25"/>
        <v>May-29-2022 - Jun-04-2022</v>
      </c>
      <c r="B184" s="41">
        <f t="shared" si="24"/>
        <v>44710</v>
      </c>
      <c r="C184" s="41">
        <f t="shared" si="23"/>
        <v>44716</v>
      </c>
      <c r="D184" s="42">
        <f>C185+13</f>
        <v>44736</v>
      </c>
      <c r="E184" s="42">
        <f t="shared" si="21"/>
        <v>44718</v>
      </c>
      <c r="F184" s="42">
        <f t="shared" si="22"/>
        <v>44719</v>
      </c>
      <c r="G184" s="68">
        <v>23</v>
      </c>
    </row>
    <row r="185" spans="1:7" ht="12.75">
      <c r="A185" s="150" t="str">
        <f t="shared" si="25"/>
        <v>Jun-05-2022 - Jun-11-2022</v>
      </c>
      <c r="B185" s="41">
        <f t="shared" si="24"/>
        <v>44717</v>
      </c>
      <c r="C185" s="41">
        <f t="shared" si="23"/>
        <v>44723</v>
      </c>
      <c r="D185" s="42">
        <f>D184</f>
        <v>44736</v>
      </c>
      <c r="E185" s="42">
        <f t="shared" si="21"/>
        <v>44725</v>
      </c>
      <c r="F185" s="42">
        <f t="shared" si="22"/>
        <v>44726</v>
      </c>
      <c r="G185" s="68">
        <v>24</v>
      </c>
    </row>
    <row r="186" spans="1:7" ht="12.75">
      <c r="A186" s="309" t="str">
        <f t="shared" si="25"/>
        <v>Jun-12-2022 - Jun-18-2022</v>
      </c>
      <c r="B186" s="234">
        <f t="shared" si="24"/>
        <v>44724</v>
      </c>
      <c r="C186" s="234">
        <f t="shared" si="23"/>
        <v>44730</v>
      </c>
      <c r="D186" s="235">
        <f>C187+13</f>
        <v>44750</v>
      </c>
      <c r="E186" s="235">
        <f t="shared" si="21"/>
        <v>44732</v>
      </c>
      <c r="F186" s="235">
        <f t="shared" si="22"/>
        <v>44733</v>
      </c>
      <c r="G186" s="236">
        <v>25</v>
      </c>
    </row>
    <row r="187" spans="1:7" ht="12.75">
      <c r="A187" s="309" t="str">
        <f t="shared" si="25"/>
        <v>Jun-19-2022 - Jun-25-2022</v>
      </c>
      <c r="B187" s="234">
        <f t="shared" si="24"/>
        <v>44731</v>
      </c>
      <c r="C187" s="234">
        <f t="shared" si="23"/>
        <v>44737</v>
      </c>
      <c r="D187" s="235">
        <f>D186</f>
        <v>44750</v>
      </c>
      <c r="E187" s="235">
        <f t="shared" si="21"/>
        <v>44739</v>
      </c>
      <c r="F187" s="235">
        <f t="shared" si="22"/>
        <v>44740</v>
      </c>
      <c r="G187" s="236">
        <v>26</v>
      </c>
    </row>
    <row r="188" spans="1:7" ht="12.75">
      <c r="A188" s="150" t="str">
        <f t="shared" si="25"/>
        <v>Jun-26-2022 - Jul-02-2022</v>
      </c>
      <c r="B188" s="41">
        <f t="shared" si="24"/>
        <v>44738</v>
      </c>
      <c r="C188" s="41">
        <f t="shared" si="23"/>
        <v>44744</v>
      </c>
      <c r="D188" s="42">
        <f>C189+13</f>
        <v>44764</v>
      </c>
      <c r="E188" s="42">
        <f t="shared" si="21"/>
        <v>44746</v>
      </c>
      <c r="F188" s="42">
        <f t="shared" si="22"/>
        <v>44747</v>
      </c>
      <c r="G188" s="68">
        <v>27</v>
      </c>
    </row>
    <row r="189" spans="1:7" ht="12.75">
      <c r="A189" s="150" t="str">
        <f t="shared" si="25"/>
        <v>Jul-03-2022 - Jul-09-2022</v>
      </c>
      <c r="B189" s="41">
        <f t="shared" si="24"/>
        <v>44745</v>
      </c>
      <c r="C189" s="41">
        <f t="shared" si="23"/>
        <v>44751</v>
      </c>
      <c r="D189" s="42">
        <f>D188</f>
        <v>44764</v>
      </c>
      <c r="E189" s="42">
        <f t="shared" si="21"/>
        <v>44753</v>
      </c>
      <c r="F189" s="42">
        <f t="shared" si="22"/>
        <v>44754</v>
      </c>
      <c r="G189" s="68">
        <v>28</v>
      </c>
    </row>
    <row r="190" spans="1:7" ht="12.75">
      <c r="A190" s="309" t="str">
        <f t="shared" si="25"/>
        <v>Jul-10-2022 - Jul-16-2022</v>
      </c>
      <c r="B190" s="234">
        <f t="shared" si="24"/>
        <v>44752</v>
      </c>
      <c r="C190" s="234">
        <f t="shared" si="23"/>
        <v>44758</v>
      </c>
      <c r="D190" s="235">
        <f>C191+13</f>
        <v>44778</v>
      </c>
      <c r="E190" s="235">
        <f t="shared" si="21"/>
        <v>44760</v>
      </c>
      <c r="F190" s="235">
        <f t="shared" si="22"/>
        <v>44761</v>
      </c>
      <c r="G190" s="236">
        <v>29</v>
      </c>
    </row>
    <row r="191" spans="1:7" ht="12.75">
      <c r="A191" s="309" t="str">
        <f t="shared" si="25"/>
        <v>Jul-17-2022 - Jul-23-2022</v>
      </c>
      <c r="B191" s="234">
        <f t="shared" si="24"/>
        <v>44759</v>
      </c>
      <c r="C191" s="234">
        <f t="shared" si="23"/>
        <v>44765</v>
      </c>
      <c r="D191" s="235">
        <f>D190</f>
        <v>44778</v>
      </c>
      <c r="E191" s="235">
        <f t="shared" si="21"/>
        <v>44767</v>
      </c>
      <c r="F191" s="235">
        <f t="shared" si="22"/>
        <v>44768</v>
      </c>
      <c r="G191" s="236">
        <v>30</v>
      </c>
    </row>
    <row r="192" spans="1:7" ht="12.75">
      <c r="A192" s="150" t="str">
        <f t="shared" si="25"/>
        <v>Jul-24-2022 - Jul-30-2022</v>
      </c>
      <c r="B192" s="41">
        <f t="shared" si="24"/>
        <v>44766</v>
      </c>
      <c r="C192" s="41">
        <f t="shared" si="23"/>
        <v>44772</v>
      </c>
      <c r="D192" s="42">
        <f>C193+13</f>
        <v>44792</v>
      </c>
      <c r="E192" s="42">
        <f t="shared" si="21"/>
        <v>44774</v>
      </c>
      <c r="F192" s="42">
        <f t="shared" si="22"/>
        <v>44775</v>
      </c>
      <c r="G192" s="68">
        <v>31</v>
      </c>
    </row>
    <row r="193" spans="1:7" ht="12.75">
      <c r="A193" s="150" t="str">
        <f t="shared" si="25"/>
        <v>Jul-31-2022 - Aug-06-2022</v>
      </c>
      <c r="B193" s="41">
        <f t="shared" si="24"/>
        <v>44773</v>
      </c>
      <c r="C193" s="41">
        <f t="shared" si="23"/>
        <v>44779</v>
      </c>
      <c r="D193" s="42">
        <f>D192</f>
        <v>44792</v>
      </c>
      <c r="E193" s="42">
        <f t="shared" si="21"/>
        <v>44781</v>
      </c>
      <c r="F193" s="42">
        <f t="shared" si="22"/>
        <v>44782</v>
      </c>
      <c r="G193" s="68">
        <v>32</v>
      </c>
    </row>
    <row r="194" spans="1:7" ht="12.75">
      <c r="A194" s="309" t="str">
        <f t="shared" si="25"/>
        <v>Aug-07-2022 - Aug-13-2022</v>
      </c>
      <c r="B194" s="234">
        <f t="shared" si="24"/>
        <v>44780</v>
      </c>
      <c r="C194" s="234">
        <f t="shared" si="23"/>
        <v>44786</v>
      </c>
      <c r="D194" s="235">
        <f>C195+13</f>
        <v>44806</v>
      </c>
      <c r="E194" s="235">
        <f t="shared" si="21"/>
        <v>44788</v>
      </c>
      <c r="F194" s="235">
        <f t="shared" si="22"/>
        <v>44789</v>
      </c>
      <c r="G194" s="236">
        <v>33</v>
      </c>
    </row>
    <row r="195" spans="1:7" ht="12.75">
      <c r="A195" s="309" t="str">
        <f t="shared" si="25"/>
        <v>Aug-14-2022 - Aug-20-2022</v>
      </c>
      <c r="B195" s="234">
        <f t="shared" si="24"/>
        <v>44787</v>
      </c>
      <c r="C195" s="234">
        <f t="shared" si="23"/>
        <v>44793</v>
      </c>
      <c r="D195" s="235">
        <f>D194</f>
        <v>44806</v>
      </c>
      <c r="E195" s="235">
        <f t="shared" si="21"/>
        <v>44795</v>
      </c>
      <c r="F195" s="235">
        <f t="shared" si="22"/>
        <v>44796</v>
      </c>
      <c r="G195" s="236">
        <v>34</v>
      </c>
    </row>
    <row r="196" spans="1:7" ht="12.75">
      <c r="A196" s="150" t="str">
        <f t="shared" si="25"/>
        <v>Aug-21-2022 - Aug-27-2022</v>
      </c>
      <c r="B196" s="41">
        <f t="shared" si="24"/>
        <v>44794</v>
      </c>
      <c r="C196" s="41">
        <f t="shared" si="23"/>
        <v>44800</v>
      </c>
      <c r="D196" s="42">
        <f>C197+13</f>
        <v>44820</v>
      </c>
      <c r="E196" s="42">
        <f t="shared" si="21"/>
        <v>44802</v>
      </c>
      <c r="F196" s="42">
        <f t="shared" si="22"/>
        <v>44803</v>
      </c>
      <c r="G196" s="68">
        <v>35</v>
      </c>
    </row>
    <row r="197" spans="1:7" ht="12.75">
      <c r="A197" s="150" t="str">
        <f t="shared" si="25"/>
        <v>Aug-28-2022 - Sep-03-2022</v>
      </c>
      <c r="B197" s="41">
        <f t="shared" si="24"/>
        <v>44801</v>
      </c>
      <c r="C197" s="41">
        <f t="shared" si="23"/>
        <v>44807</v>
      </c>
      <c r="D197" s="42">
        <f>D196</f>
        <v>44820</v>
      </c>
      <c r="E197" s="42">
        <f t="shared" si="21"/>
        <v>44809</v>
      </c>
      <c r="F197" s="42">
        <f t="shared" si="22"/>
        <v>44810</v>
      </c>
      <c r="G197" s="68">
        <v>36</v>
      </c>
    </row>
    <row r="198" spans="1:7" ht="12.75">
      <c r="A198" s="309" t="str">
        <f t="shared" si="25"/>
        <v>Sep-04-2022 - Sep-10-2022</v>
      </c>
      <c r="B198" s="234">
        <f t="shared" si="24"/>
        <v>44808</v>
      </c>
      <c r="C198" s="234">
        <f t="shared" si="23"/>
        <v>44814</v>
      </c>
      <c r="D198" s="235">
        <f>C199+13</f>
        <v>44834</v>
      </c>
      <c r="E198" s="235">
        <f t="shared" si="21"/>
        <v>44816</v>
      </c>
      <c r="F198" s="235">
        <f t="shared" si="22"/>
        <v>44817</v>
      </c>
      <c r="G198" s="236">
        <v>37</v>
      </c>
    </row>
    <row r="199" spans="1:7" ht="12.75">
      <c r="A199" s="309" t="str">
        <f t="shared" si="25"/>
        <v>Sep-11-2022 - Sep-17-2022</v>
      </c>
      <c r="B199" s="234">
        <f t="shared" si="24"/>
        <v>44815</v>
      </c>
      <c r="C199" s="234">
        <f t="shared" si="23"/>
        <v>44821</v>
      </c>
      <c r="D199" s="235">
        <f>D198</f>
        <v>44834</v>
      </c>
      <c r="E199" s="235">
        <f t="shared" si="21"/>
        <v>44823</v>
      </c>
      <c r="F199" s="235">
        <f t="shared" si="22"/>
        <v>44824</v>
      </c>
      <c r="G199" s="236">
        <v>38</v>
      </c>
    </row>
    <row r="200" spans="1:7" ht="12.75">
      <c r="A200" s="150" t="str">
        <f t="shared" si="25"/>
        <v>Sep-18-2022 - Sep-24-2022</v>
      </c>
      <c r="B200" s="41">
        <f t="shared" si="24"/>
        <v>44822</v>
      </c>
      <c r="C200" s="41">
        <f t="shared" si="23"/>
        <v>44828</v>
      </c>
      <c r="D200" s="42">
        <f>C201+13</f>
        <v>44848</v>
      </c>
      <c r="E200" s="42">
        <f t="shared" si="21"/>
        <v>44830</v>
      </c>
      <c r="F200" s="42">
        <f t="shared" si="22"/>
        <v>44831</v>
      </c>
      <c r="G200" s="68">
        <v>39</v>
      </c>
    </row>
    <row r="201" spans="1:7" ht="12.75">
      <c r="A201" s="150" t="str">
        <f t="shared" si="25"/>
        <v>Sep-25-2022 - Oct-01-2022</v>
      </c>
      <c r="B201" s="41">
        <f t="shared" si="24"/>
        <v>44829</v>
      </c>
      <c r="C201" s="41">
        <f t="shared" si="23"/>
        <v>44835</v>
      </c>
      <c r="D201" s="42">
        <f>D200</f>
        <v>44848</v>
      </c>
      <c r="E201" s="42">
        <f t="shared" si="21"/>
        <v>44837</v>
      </c>
      <c r="F201" s="42">
        <f t="shared" si="22"/>
        <v>44838</v>
      </c>
      <c r="G201" s="68">
        <v>40</v>
      </c>
    </row>
    <row r="202" spans="1:7" ht="12.75">
      <c r="A202" s="309" t="str">
        <f t="shared" si="25"/>
        <v>Oct-02-2022 - Oct-08-2022</v>
      </c>
      <c r="B202" s="234">
        <f t="shared" si="24"/>
        <v>44836</v>
      </c>
      <c r="C202" s="234">
        <f t="shared" si="23"/>
        <v>44842</v>
      </c>
      <c r="D202" s="235">
        <f>C203+13</f>
        <v>44862</v>
      </c>
      <c r="E202" s="235">
        <f t="shared" si="21"/>
        <v>44844</v>
      </c>
      <c r="F202" s="235">
        <f t="shared" si="22"/>
        <v>44845</v>
      </c>
      <c r="G202" s="236">
        <v>41</v>
      </c>
    </row>
    <row r="203" spans="1:7" ht="12.75">
      <c r="A203" s="309" t="str">
        <f t="shared" si="25"/>
        <v>Oct-09-2022 - Oct-15-2022</v>
      </c>
      <c r="B203" s="234">
        <f t="shared" si="24"/>
        <v>44843</v>
      </c>
      <c r="C203" s="234">
        <f t="shared" si="23"/>
        <v>44849</v>
      </c>
      <c r="D203" s="235">
        <f>D202</f>
        <v>44862</v>
      </c>
      <c r="E203" s="235">
        <f t="shared" si="21"/>
        <v>44851</v>
      </c>
      <c r="F203" s="235">
        <f t="shared" si="22"/>
        <v>44852</v>
      </c>
      <c r="G203" s="236">
        <v>42</v>
      </c>
    </row>
    <row r="204" spans="1:7" ht="12.75">
      <c r="A204" s="150" t="str">
        <f t="shared" si="25"/>
        <v>Oct-16-2022 - Oct-22-2022</v>
      </c>
      <c r="B204" s="41">
        <f t="shared" si="24"/>
        <v>44850</v>
      </c>
      <c r="C204" s="41">
        <f t="shared" si="23"/>
        <v>44856</v>
      </c>
      <c r="D204" s="42">
        <f>C205+13</f>
        <v>44876</v>
      </c>
      <c r="E204" s="42">
        <f t="shared" si="21"/>
        <v>44858</v>
      </c>
      <c r="F204" s="42">
        <f t="shared" si="22"/>
        <v>44859</v>
      </c>
      <c r="G204" s="68">
        <v>43</v>
      </c>
    </row>
    <row r="205" spans="1:7" ht="12.75">
      <c r="A205" s="150" t="str">
        <f t="shared" si="25"/>
        <v>Oct-23-2022 - Oct-29-2022</v>
      </c>
      <c r="B205" s="41">
        <f t="shared" si="24"/>
        <v>44857</v>
      </c>
      <c r="C205" s="41">
        <f t="shared" si="23"/>
        <v>44863</v>
      </c>
      <c r="D205" s="42">
        <f>D204</f>
        <v>44876</v>
      </c>
      <c r="E205" s="42">
        <f t="shared" si="21"/>
        <v>44865</v>
      </c>
      <c r="F205" s="42">
        <f t="shared" si="22"/>
        <v>44866</v>
      </c>
      <c r="G205" s="68">
        <v>44</v>
      </c>
    </row>
    <row r="206" spans="1:7" ht="12.75">
      <c r="A206" s="309" t="str">
        <f t="shared" si="25"/>
        <v>Oct-30-2022 - Nov-05-2022</v>
      </c>
      <c r="B206" s="234">
        <f t="shared" si="24"/>
        <v>44864</v>
      </c>
      <c r="C206" s="234">
        <f t="shared" si="23"/>
        <v>44870</v>
      </c>
      <c r="D206" s="235">
        <f>C207+13</f>
        <v>44890</v>
      </c>
      <c r="E206" s="235">
        <f t="shared" si="21"/>
        <v>44872</v>
      </c>
      <c r="F206" s="235">
        <f t="shared" si="22"/>
        <v>44873</v>
      </c>
      <c r="G206" s="236">
        <v>45</v>
      </c>
    </row>
    <row r="207" spans="1:7" ht="12.75">
      <c r="A207" s="309" t="str">
        <f t="shared" si="25"/>
        <v>Nov-06-2022 - Nov-12-2022</v>
      </c>
      <c r="B207" s="234">
        <f t="shared" si="24"/>
        <v>44871</v>
      </c>
      <c r="C207" s="234">
        <f t="shared" si="23"/>
        <v>44877</v>
      </c>
      <c r="D207" s="235">
        <f>D206</f>
        <v>44890</v>
      </c>
      <c r="E207" s="235">
        <f t="shared" si="21"/>
        <v>44879</v>
      </c>
      <c r="F207" s="235">
        <f t="shared" si="22"/>
        <v>44880</v>
      </c>
      <c r="G207" s="236">
        <v>46</v>
      </c>
    </row>
    <row r="208" spans="1:7" ht="12.75">
      <c r="A208" s="150" t="str">
        <f t="shared" si="25"/>
        <v>Nov-13-2022 - Nov-19-2022</v>
      </c>
      <c r="B208" s="41">
        <f t="shared" si="24"/>
        <v>44878</v>
      </c>
      <c r="C208" s="41">
        <f t="shared" si="23"/>
        <v>44884</v>
      </c>
      <c r="D208" s="42">
        <f>C209+13</f>
        <v>44904</v>
      </c>
      <c r="E208" s="42">
        <f t="shared" si="21"/>
        <v>44886</v>
      </c>
      <c r="F208" s="42">
        <f t="shared" si="22"/>
        <v>44887</v>
      </c>
      <c r="G208" s="68">
        <v>47</v>
      </c>
    </row>
    <row r="209" spans="1:7" ht="12.75">
      <c r="A209" s="150" t="str">
        <f t="shared" si="25"/>
        <v>Nov-20-2022 - Nov-26-2022</v>
      </c>
      <c r="B209" s="41">
        <f t="shared" si="24"/>
        <v>44885</v>
      </c>
      <c r="C209" s="41">
        <f t="shared" si="23"/>
        <v>44891</v>
      </c>
      <c r="D209" s="42">
        <f>D208</f>
        <v>44904</v>
      </c>
      <c r="E209" s="42">
        <f t="shared" si="21"/>
        <v>44893</v>
      </c>
      <c r="F209" s="42">
        <f t="shared" si="22"/>
        <v>44894</v>
      </c>
      <c r="G209" s="68">
        <v>48</v>
      </c>
    </row>
    <row r="210" spans="1:7" ht="12.75">
      <c r="A210" s="309" t="str">
        <f t="shared" si="25"/>
        <v>Nov-27-2022 - Dec-03-2022</v>
      </c>
      <c r="B210" s="234">
        <f t="shared" si="24"/>
        <v>44892</v>
      </c>
      <c r="C210" s="234">
        <f t="shared" si="23"/>
        <v>44898</v>
      </c>
      <c r="D210" s="235">
        <f>C211+13</f>
        <v>44918</v>
      </c>
      <c r="E210" s="235">
        <f t="shared" si="21"/>
        <v>44900</v>
      </c>
      <c r="F210" s="235">
        <f t="shared" si="22"/>
        <v>44901</v>
      </c>
      <c r="G210" s="236">
        <v>49</v>
      </c>
    </row>
    <row r="211" spans="1:7" ht="12.75">
      <c r="A211" s="309" t="str">
        <f t="shared" si="25"/>
        <v>Dec-04-2022 - Dec-10-2022</v>
      </c>
      <c r="B211" s="234">
        <f t="shared" si="24"/>
        <v>44899</v>
      </c>
      <c r="C211" s="234">
        <f t="shared" si="23"/>
        <v>44905</v>
      </c>
      <c r="D211" s="235">
        <f>D210</f>
        <v>44918</v>
      </c>
      <c r="E211" s="235">
        <f t="shared" si="21"/>
        <v>44907</v>
      </c>
      <c r="F211" s="235">
        <f t="shared" si="22"/>
        <v>44908</v>
      </c>
      <c r="G211" s="236">
        <v>50</v>
      </c>
    </row>
    <row r="212" spans="1:7" ht="12.75">
      <c r="A212" s="150" t="str">
        <f t="shared" si="25"/>
        <v>Dec-11-2022 - Dec-17-2022</v>
      </c>
      <c r="B212" s="41">
        <f t="shared" si="24"/>
        <v>44906</v>
      </c>
      <c r="C212" s="41">
        <f t="shared" si="23"/>
        <v>44912</v>
      </c>
      <c r="D212" s="42">
        <f>C213+13</f>
        <v>44932</v>
      </c>
      <c r="E212" s="42">
        <f t="shared" si="21"/>
        <v>44914</v>
      </c>
      <c r="F212" s="42">
        <f t="shared" si="22"/>
        <v>44915</v>
      </c>
      <c r="G212" s="68">
        <v>51</v>
      </c>
    </row>
    <row r="213" spans="1:7" ht="12.75">
      <c r="A213" s="150" t="str">
        <f t="shared" si="25"/>
        <v>Dec-18-2022 - Dec-24-2022</v>
      </c>
      <c r="B213" s="41">
        <f t="shared" si="24"/>
        <v>44913</v>
      </c>
      <c r="C213" s="41">
        <f t="shared" si="23"/>
        <v>44919</v>
      </c>
      <c r="D213" s="42">
        <f>D212</f>
        <v>44932</v>
      </c>
      <c r="E213" s="42">
        <f t="shared" si="21"/>
        <v>44921</v>
      </c>
      <c r="F213" s="42">
        <f t="shared" si="22"/>
        <v>44922</v>
      </c>
      <c r="G213" s="68">
        <v>52</v>
      </c>
    </row>
    <row r="214" spans="1:7" ht="12.75">
      <c r="A214" s="309" t="str">
        <f t="shared" si="25"/>
        <v>Dec-25-2022 - Dec-31-2022</v>
      </c>
      <c r="B214" s="234">
        <f t="shared" si="24"/>
        <v>44920</v>
      </c>
      <c r="C214" s="234">
        <f t="shared" si="23"/>
        <v>44926</v>
      </c>
      <c r="D214" s="235">
        <f>C215+13</f>
        <v>44946</v>
      </c>
      <c r="E214" s="235">
        <f t="shared" si="21"/>
        <v>44928</v>
      </c>
      <c r="F214" s="235">
        <f t="shared" si="22"/>
        <v>44929</v>
      </c>
      <c r="G214" s="236">
        <v>1</v>
      </c>
    </row>
    <row r="215" spans="1:7" ht="12.75">
      <c r="A215" s="309" t="str">
        <f t="shared" si="25"/>
        <v>Jan-01-2023 - Jan-07-2023</v>
      </c>
      <c r="B215" s="234">
        <f t="shared" si="24"/>
        <v>44927</v>
      </c>
      <c r="C215" s="234">
        <f t="shared" si="23"/>
        <v>44933</v>
      </c>
      <c r="D215" s="235">
        <f>D214</f>
        <v>44946</v>
      </c>
      <c r="E215" s="235">
        <f t="shared" si="21"/>
        <v>44935</v>
      </c>
      <c r="F215" s="235">
        <f t="shared" si="22"/>
        <v>44936</v>
      </c>
      <c r="G215" s="236">
        <v>2</v>
      </c>
    </row>
    <row r="216" spans="1:7" ht="12.75">
      <c r="A216" s="150" t="str">
        <f t="shared" si="25"/>
        <v>Jan-08-2023 - Jan-14-2023</v>
      </c>
      <c r="B216" s="41">
        <f t="shared" si="24"/>
        <v>44934</v>
      </c>
      <c r="C216" s="41">
        <f t="shared" si="23"/>
        <v>44940</v>
      </c>
      <c r="D216" s="42">
        <f>C217+13</f>
        <v>44960</v>
      </c>
      <c r="E216" s="42">
        <f t="shared" si="21"/>
        <v>44942</v>
      </c>
      <c r="F216" s="42">
        <f t="shared" si="22"/>
        <v>44943</v>
      </c>
      <c r="G216" s="68">
        <v>3</v>
      </c>
    </row>
    <row r="217" spans="1:7" ht="12.75">
      <c r="A217" s="150" t="str">
        <f t="shared" si="25"/>
        <v>Jan-15-2023 - Jan-21-2023</v>
      </c>
      <c r="B217" s="41">
        <f t="shared" si="24"/>
        <v>44941</v>
      </c>
      <c r="C217" s="41">
        <f t="shared" si="23"/>
        <v>44947</v>
      </c>
      <c r="D217" s="42">
        <f>D216</f>
        <v>44960</v>
      </c>
      <c r="E217" s="42">
        <f t="shared" si="21"/>
        <v>44949</v>
      </c>
      <c r="F217" s="42">
        <f t="shared" si="22"/>
        <v>44950</v>
      </c>
      <c r="G217" s="68">
        <v>4</v>
      </c>
    </row>
    <row r="218" spans="1:7" ht="12.75">
      <c r="A218" s="309" t="str">
        <f t="shared" si="25"/>
        <v>Jan-22-2023 - Jan-28-2023</v>
      </c>
      <c r="B218" s="234">
        <f t="shared" si="24"/>
        <v>44948</v>
      </c>
      <c r="C218" s="234">
        <f t="shared" si="23"/>
        <v>44954</v>
      </c>
      <c r="D218" s="235">
        <f>C219+13</f>
        <v>44974</v>
      </c>
      <c r="E218" s="235">
        <f t="shared" si="21"/>
        <v>44956</v>
      </c>
      <c r="F218" s="235">
        <f t="shared" si="22"/>
        <v>44957</v>
      </c>
      <c r="G218" s="236">
        <v>5</v>
      </c>
    </row>
    <row r="219" spans="1:7" ht="12.75">
      <c r="A219" s="309" t="str">
        <f t="shared" si="25"/>
        <v>Jan-29-2023 - Feb-04-2023</v>
      </c>
      <c r="B219" s="234">
        <f t="shared" si="24"/>
        <v>44955</v>
      </c>
      <c r="C219" s="234">
        <f t="shared" si="23"/>
        <v>44961</v>
      </c>
      <c r="D219" s="235">
        <f>D218</f>
        <v>44974</v>
      </c>
      <c r="E219" s="235">
        <f t="shared" si="21"/>
        <v>44963</v>
      </c>
      <c r="F219" s="235">
        <f t="shared" si="22"/>
        <v>44964</v>
      </c>
      <c r="G219" s="236">
        <v>6</v>
      </c>
    </row>
    <row r="220" spans="1:7" ht="12.75">
      <c r="A220" s="150" t="str">
        <f t="shared" si="25"/>
        <v>Feb-05-2023 - Feb-11-2023</v>
      </c>
      <c r="B220" s="41">
        <f t="shared" si="24"/>
        <v>44962</v>
      </c>
      <c r="C220" s="41">
        <f t="shared" si="23"/>
        <v>44968</v>
      </c>
      <c r="D220" s="42">
        <f>C221+13</f>
        <v>44988</v>
      </c>
      <c r="E220" s="42">
        <f t="shared" si="21"/>
        <v>44970</v>
      </c>
      <c r="F220" s="42">
        <f t="shared" si="22"/>
        <v>44971</v>
      </c>
      <c r="G220" s="68">
        <v>7</v>
      </c>
    </row>
    <row r="221" spans="1:7" ht="12.75">
      <c r="A221" s="150" t="str">
        <f t="shared" si="25"/>
        <v>Feb-12-2023 - Feb-18-2023</v>
      </c>
      <c r="B221" s="41">
        <f t="shared" si="24"/>
        <v>44969</v>
      </c>
      <c r="C221" s="41">
        <f t="shared" si="23"/>
        <v>44975</v>
      </c>
      <c r="D221" s="42">
        <f>D220</f>
        <v>44988</v>
      </c>
      <c r="E221" s="42">
        <f t="shared" si="21"/>
        <v>44977</v>
      </c>
      <c r="F221" s="42">
        <f t="shared" si="22"/>
        <v>44978</v>
      </c>
      <c r="G221" s="68">
        <v>8</v>
      </c>
    </row>
    <row r="222" spans="1:7" ht="12.75">
      <c r="A222" s="309" t="str">
        <f t="shared" si="25"/>
        <v>Feb-19-2023 - Feb-25-2023</v>
      </c>
      <c r="B222" s="234">
        <f t="shared" si="24"/>
        <v>44976</v>
      </c>
      <c r="C222" s="234">
        <f t="shared" si="23"/>
        <v>44982</v>
      </c>
      <c r="D222" s="235">
        <f>C223+13</f>
        <v>45002</v>
      </c>
      <c r="E222" s="235">
        <f t="shared" si="21"/>
        <v>44984</v>
      </c>
      <c r="F222" s="235">
        <f t="shared" si="22"/>
        <v>44985</v>
      </c>
      <c r="G222" s="236">
        <v>9</v>
      </c>
    </row>
    <row r="223" spans="1:7" ht="12.75">
      <c r="A223" s="309" t="str">
        <f t="shared" si="25"/>
        <v>Feb-26-2023 - Mar-04-2023</v>
      </c>
      <c r="B223" s="234">
        <f t="shared" si="24"/>
        <v>44983</v>
      </c>
      <c r="C223" s="234">
        <f t="shared" si="23"/>
        <v>44989</v>
      </c>
      <c r="D223" s="235">
        <f>D222</f>
        <v>45002</v>
      </c>
      <c r="E223" s="235">
        <f t="shared" si="21"/>
        <v>44991</v>
      </c>
      <c r="F223" s="235">
        <f t="shared" si="22"/>
        <v>44992</v>
      </c>
      <c r="G223" s="236">
        <v>10</v>
      </c>
    </row>
    <row r="224" spans="1:7" ht="12.75">
      <c r="A224" s="150" t="str">
        <f t="shared" si="25"/>
        <v>Mar-05-2023 - Mar-11-2023</v>
      </c>
      <c r="B224" s="41">
        <f t="shared" si="24"/>
        <v>44990</v>
      </c>
      <c r="C224" s="41">
        <f t="shared" si="23"/>
        <v>44996</v>
      </c>
      <c r="D224" s="42">
        <f>C225+13</f>
        <v>45016</v>
      </c>
      <c r="E224" s="42">
        <f t="shared" si="21"/>
        <v>44998</v>
      </c>
      <c r="F224" s="42">
        <f t="shared" si="22"/>
        <v>44999</v>
      </c>
      <c r="G224" s="68">
        <v>11</v>
      </c>
    </row>
    <row r="225" spans="1:7" ht="12.75">
      <c r="A225" s="150" t="str">
        <f t="shared" si="25"/>
        <v>Mar-12-2023 - Mar-18-2023</v>
      </c>
      <c r="B225" s="41">
        <f t="shared" si="24"/>
        <v>44997</v>
      </c>
      <c r="C225" s="41">
        <f t="shared" si="23"/>
        <v>45003</v>
      </c>
      <c r="D225" s="42">
        <f>D224</f>
        <v>45016</v>
      </c>
      <c r="E225" s="42">
        <f t="shared" si="21"/>
        <v>45005</v>
      </c>
      <c r="F225" s="42">
        <f t="shared" si="22"/>
        <v>45006</v>
      </c>
      <c r="G225" s="68">
        <v>12</v>
      </c>
    </row>
    <row r="226" spans="1:7" ht="12.75">
      <c r="A226" s="309" t="str">
        <f t="shared" si="25"/>
        <v>Mar-19-2023 - Mar-25-2023</v>
      </c>
      <c r="B226" s="234">
        <f t="shared" si="24"/>
        <v>45004</v>
      </c>
      <c r="C226" s="234">
        <f t="shared" si="23"/>
        <v>45010</v>
      </c>
      <c r="D226" s="235">
        <f>C227+13</f>
        <v>45030</v>
      </c>
      <c r="E226" s="235">
        <f aca="true" t="shared" si="26" ref="E226:E289">C226+2</f>
        <v>45012</v>
      </c>
      <c r="F226" s="235">
        <f t="shared" si="22"/>
        <v>45013</v>
      </c>
      <c r="G226" s="236">
        <v>13</v>
      </c>
    </row>
    <row r="227" spans="1:7" ht="12.75">
      <c r="A227" s="309" t="str">
        <f t="shared" si="25"/>
        <v>Mar-26-2023 - Apr-01-2023</v>
      </c>
      <c r="B227" s="234">
        <f t="shared" si="24"/>
        <v>45011</v>
      </c>
      <c r="C227" s="234">
        <f t="shared" si="23"/>
        <v>45017</v>
      </c>
      <c r="D227" s="235">
        <f>D226</f>
        <v>45030</v>
      </c>
      <c r="E227" s="235">
        <f t="shared" si="26"/>
        <v>45019</v>
      </c>
      <c r="F227" s="235">
        <f aca="true" t="shared" si="27" ref="F227:F290">E227+1</f>
        <v>45020</v>
      </c>
      <c r="G227" s="236">
        <v>14</v>
      </c>
    </row>
    <row r="228" spans="1:7" ht="12.75">
      <c r="A228" s="150" t="str">
        <f t="shared" si="25"/>
        <v>Apr-02-2023 - Apr-08-2023</v>
      </c>
      <c r="B228" s="41">
        <f t="shared" si="24"/>
        <v>45018</v>
      </c>
      <c r="C228" s="41">
        <f t="shared" si="23"/>
        <v>45024</v>
      </c>
      <c r="D228" s="42">
        <f>C229+13</f>
        <v>45044</v>
      </c>
      <c r="E228" s="42">
        <f t="shared" si="26"/>
        <v>45026</v>
      </c>
      <c r="F228" s="42">
        <f t="shared" si="27"/>
        <v>45027</v>
      </c>
      <c r="G228" s="68">
        <v>15</v>
      </c>
    </row>
    <row r="229" spans="1:7" ht="12.75">
      <c r="A229" s="150" t="str">
        <f t="shared" si="25"/>
        <v>Apr-09-2023 - Apr-15-2023</v>
      </c>
      <c r="B229" s="41">
        <f t="shared" si="24"/>
        <v>45025</v>
      </c>
      <c r="C229" s="41">
        <f t="shared" si="23"/>
        <v>45031</v>
      </c>
      <c r="D229" s="42">
        <f>D228</f>
        <v>45044</v>
      </c>
      <c r="E229" s="42">
        <f t="shared" si="26"/>
        <v>45033</v>
      </c>
      <c r="F229" s="42">
        <f t="shared" si="27"/>
        <v>45034</v>
      </c>
      <c r="G229" s="68">
        <v>16</v>
      </c>
    </row>
    <row r="230" spans="1:7" ht="12.75">
      <c r="A230" s="309" t="str">
        <f t="shared" si="25"/>
        <v>Apr-16-2023 - Apr-22-2023</v>
      </c>
      <c r="B230" s="234">
        <f t="shared" si="24"/>
        <v>45032</v>
      </c>
      <c r="C230" s="234">
        <f>B230+6</f>
        <v>45038</v>
      </c>
      <c r="D230" s="235">
        <f>C231+13</f>
        <v>45058</v>
      </c>
      <c r="E230" s="235">
        <f t="shared" si="26"/>
        <v>45040</v>
      </c>
      <c r="F230" s="235">
        <f t="shared" si="27"/>
        <v>45041</v>
      </c>
      <c r="G230" s="236">
        <v>17</v>
      </c>
    </row>
    <row r="231" spans="1:7" ht="12.75">
      <c r="A231" s="309" t="str">
        <f t="shared" si="25"/>
        <v>Apr-23-2023 - Apr-29-2023</v>
      </c>
      <c r="B231" s="234">
        <f t="shared" si="24"/>
        <v>45039</v>
      </c>
      <c r="C231" s="234">
        <f t="shared" si="23"/>
        <v>45045</v>
      </c>
      <c r="D231" s="235">
        <f>D230</f>
        <v>45058</v>
      </c>
      <c r="E231" s="235">
        <f t="shared" si="26"/>
        <v>45047</v>
      </c>
      <c r="F231" s="235">
        <f t="shared" si="27"/>
        <v>45048</v>
      </c>
      <c r="G231" s="236">
        <v>18</v>
      </c>
    </row>
    <row r="232" spans="1:7" ht="12.75">
      <c r="A232" s="150" t="str">
        <f t="shared" si="25"/>
        <v>Apr-30-2023 - May-06-2023</v>
      </c>
      <c r="B232" s="41">
        <f aca="true" t="shared" si="28" ref="B232:B295">B231+7</f>
        <v>45046</v>
      </c>
      <c r="C232" s="41">
        <f aca="true" t="shared" si="29" ref="C232:C295">B232+6</f>
        <v>45052</v>
      </c>
      <c r="D232" s="42">
        <f>C233+13</f>
        <v>45072</v>
      </c>
      <c r="E232" s="42">
        <f t="shared" si="26"/>
        <v>45054</v>
      </c>
      <c r="F232" s="42">
        <f t="shared" si="27"/>
        <v>45055</v>
      </c>
      <c r="G232" s="68">
        <v>19</v>
      </c>
    </row>
    <row r="233" spans="1:7" ht="12.75">
      <c r="A233" s="150" t="str">
        <f t="shared" si="25"/>
        <v>May-07-2023 - May-13-2023</v>
      </c>
      <c r="B233" s="41">
        <f t="shared" si="28"/>
        <v>45053</v>
      </c>
      <c r="C233" s="41">
        <f t="shared" si="29"/>
        <v>45059</v>
      </c>
      <c r="D233" s="42">
        <f>D232</f>
        <v>45072</v>
      </c>
      <c r="E233" s="42">
        <f t="shared" si="26"/>
        <v>45061</v>
      </c>
      <c r="F233" s="42">
        <f t="shared" si="27"/>
        <v>45062</v>
      </c>
      <c r="G233" s="68">
        <v>20</v>
      </c>
    </row>
    <row r="234" spans="1:7" ht="12.75">
      <c r="A234" s="309" t="str">
        <f t="shared" si="25"/>
        <v>May-14-2023 - May-20-2023</v>
      </c>
      <c r="B234" s="234">
        <f t="shared" si="28"/>
        <v>45060</v>
      </c>
      <c r="C234" s="234">
        <f t="shared" si="29"/>
        <v>45066</v>
      </c>
      <c r="D234" s="235">
        <f>C235+13</f>
        <v>45086</v>
      </c>
      <c r="E234" s="235">
        <f t="shared" si="26"/>
        <v>45068</v>
      </c>
      <c r="F234" s="235">
        <f t="shared" si="27"/>
        <v>45069</v>
      </c>
      <c r="G234" s="236">
        <v>21</v>
      </c>
    </row>
    <row r="235" spans="1:7" ht="12.75">
      <c r="A235" s="309" t="str">
        <f t="shared" si="25"/>
        <v>May-21-2023 - May-27-2023</v>
      </c>
      <c r="B235" s="234">
        <f t="shared" si="28"/>
        <v>45067</v>
      </c>
      <c r="C235" s="234">
        <f t="shared" si="29"/>
        <v>45073</v>
      </c>
      <c r="D235" s="235">
        <f>D234</f>
        <v>45086</v>
      </c>
      <c r="E235" s="235">
        <f t="shared" si="26"/>
        <v>45075</v>
      </c>
      <c r="F235" s="235">
        <f t="shared" si="27"/>
        <v>45076</v>
      </c>
      <c r="G235" s="236">
        <v>22</v>
      </c>
    </row>
    <row r="236" spans="1:7" ht="12.75">
      <c r="A236" s="150" t="str">
        <f t="shared" si="25"/>
        <v>May-28-2023 - Jun-03-2023</v>
      </c>
      <c r="B236" s="41">
        <f t="shared" si="28"/>
        <v>45074</v>
      </c>
      <c r="C236" s="41">
        <f t="shared" si="29"/>
        <v>45080</v>
      </c>
      <c r="D236" s="42">
        <f>C237+13</f>
        <v>45100</v>
      </c>
      <c r="E236" s="42">
        <f t="shared" si="26"/>
        <v>45082</v>
      </c>
      <c r="F236" s="42">
        <f t="shared" si="27"/>
        <v>45083</v>
      </c>
      <c r="G236" s="68">
        <v>23</v>
      </c>
    </row>
    <row r="237" spans="1:7" ht="12.75">
      <c r="A237" s="150" t="str">
        <f aca="true" t="shared" si="30" ref="A237:A300">CONCATENATE(TEXT(B237,"mmm-dd-yyyy")," - ",(TEXT(C237,"mmm-dd-yyyy")))</f>
        <v>Jun-04-2023 - Jun-10-2023</v>
      </c>
      <c r="B237" s="41">
        <f t="shared" si="28"/>
        <v>45081</v>
      </c>
      <c r="C237" s="41">
        <f t="shared" si="29"/>
        <v>45087</v>
      </c>
      <c r="D237" s="42">
        <f>D236</f>
        <v>45100</v>
      </c>
      <c r="E237" s="42">
        <f t="shared" si="26"/>
        <v>45089</v>
      </c>
      <c r="F237" s="42">
        <f t="shared" si="27"/>
        <v>45090</v>
      </c>
      <c r="G237" s="68">
        <v>24</v>
      </c>
    </row>
    <row r="238" spans="1:7" ht="12.75">
      <c r="A238" s="309" t="str">
        <f t="shared" si="30"/>
        <v>Jun-11-2023 - Jun-17-2023</v>
      </c>
      <c r="B238" s="234">
        <f t="shared" si="28"/>
        <v>45088</v>
      </c>
      <c r="C238" s="234">
        <f t="shared" si="29"/>
        <v>45094</v>
      </c>
      <c r="D238" s="235">
        <f>C239+13</f>
        <v>45114</v>
      </c>
      <c r="E238" s="235">
        <f t="shared" si="26"/>
        <v>45096</v>
      </c>
      <c r="F238" s="235">
        <f t="shared" si="27"/>
        <v>45097</v>
      </c>
      <c r="G238" s="236">
        <v>25</v>
      </c>
    </row>
    <row r="239" spans="1:7" ht="12.75">
      <c r="A239" s="309" t="str">
        <f t="shared" si="30"/>
        <v>Jun-18-2023 - Jun-24-2023</v>
      </c>
      <c r="B239" s="234">
        <f t="shared" si="28"/>
        <v>45095</v>
      </c>
      <c r="C239" s="234">
        <f t="shared" si="29"/>
        <v>45101</v>
      </c>
      <c r="D239" s="235">
        <f>D238</f>
        <v>45114</v>
      </c>
      <c r="E239" s="235">
        <f t="shared" si="26"/>
        <v>45103</v>
      </c>
      <c r="F239" s="235">
        <f t="shared" si="27"/>
        <v>45104</v>
      </c>
      <c r="G239" s="236">
        <v>26</v>
      </c>
    </row>
    <row r="240" spans="1:7" ht="12.75">
      <c r="A240" s="150" t="str">
        <f t="shared" si="30"/>
        <v>Jun-25-2023 - Jul-01-2023</v>
      </c>
      <c r="B240" s="41">
        <f t="shared" si="28"/>
        <v>45102</v>
      </c>
      <c r="C240" s="41">
        <f t="shared" si="29"/>
        <v>45108</v>
      </c>
      <c r="D240" s="42">
        <f>C241+13</f>
        <v>45128</v>
      </c>
      <c r="E240" s="42">
        <f t="shared" si="26"/>
        <v>45110</v>
      </c>
      <c r="F240" s="42">
        <f t="shared" si="27"/>
        <v>45111</v>
      </c>
      <c r="G240" s="68">
        <v>27</v>
      </c>
    </row>
    <row r="241" spans="1:7" ht="12.75">
      <c r="A241" s="150" t="str">
        <f t="shared" si="30"/>
        <v>Jul-02-2023 - Jul-08-2023</v>
      </c>
      <c r="B241" s="41">
        <f t="shared" si="28"/>
        <v>45109</v>
      </c>
      <c r="C241" s="41">
        <f t="shared" si="29"/>
        <v>45115</v>
      </c>
      <c r="D241" s="42">
        <f>D240</f>
        <v>45128</v>
      </c>
      <c r="E241" s="42">
        <f t="shared" si="26"/>
        <v>45117</v>
      </c>
      <c r="F241" s="42">
        <f t="shared" si="27"/>
        <v>45118</v>
      </c>
      <c r="G241" s="68">
        <v>28</v>
      </c>
    </row>
    <row r="242" spans="1:7" ht="12.75">
      <c r="A242" s="309" t="str">
        <f t="shared" si="30"/>
        <v>Jul-09-2023 - Jul-15-2023</v>
      </c>
      <c r="B242" s="234">
        <f t="shared" si="28"/>
        <v>45116</v>
      </c>
      <c r="C242" s="234">
        <f t="shared" si="29"/>
        <v>45122</v>
      </c>
      <c r="D242" s="235">
        <f>C243+13</f>
        <v>45142</v>
      </c>
      <c r="E242" s="235">
        <f t="shared" si="26"/>
        <v>45124</v>
      </c>
      <c r="F242" s="235">
        <f t="shared" si="27"/>
        <v>45125</v>
      </c>
      <c r="G242" s="236">
        <v>29</v>
      </c>
    </row>
    <row r="243" spans="1:7" ht="12.75">
      <c r="A243" s="309" t="str">
        <f t="shared" si="30"/>
        <v>Jul-16-2023 - Jul-22-2023</v>
      </c>
      <c r="B243" s="234">
        <f t="shared" si="28"/>
        <v>45123</v>
      </c>
      <c r="C243" s="234">
        <f t="shared" si="29"/>
        <v>45129</v>
      </c>
      <c r="D243" s="235">
        <f>D242</f>
        <v>45142</v>
      </c>
      <c r="E243" s="235">
        <f t="shared" si="26"/>
        <v>45131</v>
      </c>
      <c r="F243" s="235">
        <f t="shared" si="27"/>
        <v>45132</v>
      </c>
      <c r="G243" s="236">
        <v>30</v>
      </c>
    </row>
    <row r="244" spans="1:7" ht="12.75">
      <c r="A244" s="150" t="str">
        <f t="shared" si="30"/>
        <v>Jul-23-2023 - Jul-29-2023</v>
      </c>
      <c r="B244" s="41">
        <f t="shared" si="28"/>
        <v>45130</v>
      </c>
      <c r="C244" s="41">
        <f t="shared" si="29"/>
        <v>45136</v>
      </c>
      <c r="D244" s="42">
        <f>C245+13</f>
        <v>45156</v>
      </c>
      <c r="E244" s="42">
        <f t="shared" si="26"/>
        <v>45138</v>
      </c>
      <c r="F244" s="42">
        <f t="shared" si="27"/>
        <v>45139</v>
      </c>
      <c r="G244" s="68">
        <v>31</v>
      </c>
    </row>
    <row r="245" spans="1:7" ht="12.75">
      <c r="A245" s="150" t="str">
        <f t="shared" si="30"/>
        <v>Jul-30-2023 - Aug-05-2023</v>
      </c>
      <c r="B245" s="41">
        <f t="shared" si="28"/>
        <v>45137</v>
      </c>
      <c r="C245" s="41">
        <f t="shared" si="29"/>
        <v>45143</v>
      </c>
      <c r="D245" s="42">
        <f>D244</f>
        <v>45156</v>
      </c>
      <c r="E245" s="42">
        <f t="shared" si="26"/>
        <v>45145</v>
      </c>
      <c r="F245" s="42">
        <f t="shared" si="27"/>
        <v>45146</v>
      </c>
      <c r="G245" s="68">
        <v>32</v>
      </c>
    </row>
    <row r="246" spans="1:7" ht="12.75">
      <c r="A246" s="309" t="str">
        <f t="shared" si="30"/>
        <v>Aug-06-2023 - Aug-12-2023</v>
      </c>
      <c r="B246" s="234">
        <f t="shared" si="28"/>
        <v>45144</v>
      </c>
      <c r="C246" s="234">
        <f t="shared" si="29"/>
        <v>45150</v>
      </c>
      <c r="D246" s="235">
        <f>C247+13</f>
        <v>45170</v>
      </c>
      <c r="E246" s="235">
        <f t="shared" si="26"/>
        <v>45152</v>
      </c>
      <c r="F246" s="235">
        <f t="shared" si="27"/>
        <v>45153</v>
      </c>
      <c r="G246" s="236">
        <v>33</v>
      </c>
    </row>
    <row r="247" spans="1:7" ht="12.75">
      <c r="A247" s="309" t="str">
        <f t="shared" si="30"/>
        <v>Aug-13-2023 - Aug-19-2023</v>
      </c>
      <c r="B247" s="234">
        <f t="shared" si="28"/>
        <v>45151</v>
      </c>
      <c r="C247" s="234">
        <f t="shared" si="29"/>
        <v>45157</v>
      </c>
      <c r="D247" s="235">
        <f>D246</f>
        <v>45170</v>
      </c>
      <c r="E247" s="235">
        <f t="shared" si="26"/>
        <v>45159</v>
      </c>
      <c r="F247" s="235">
        <f t="shared" si="27"/>
        <v>45160</v>
      </c>
      <c r="G247" s="236">
        <v>34</v>
      </c>
    </row>
    <row r="248" spans="1:7" ht="12.75">
      <c r="A248" s="150" t="str">
        <f t="shared" si="30"/>
        <v>Aug-20-2023 - Aug-26-2023</v>
      </c>
      <c r="B248" s="41">
        <f t="shared" si="28"/>
        <v>45158</v>
      </c>
      <c r="C248" s="41">
        <f t="shared" si="29"/>
        <v>45164</v>
      </c>
      <c r="D248" s="42">
        <f>C249+13</f>
        <v>45184</v>
      </c>
      <c r="E248" s="42">
        <f t="shared" si="26"/>
        <v>45166</v>
      </c>
      <c r="F248" s="42">
        <f t="shared" si="27"/>
        <v>45167</v>
      </c>
      <c r="G248" s="68">
        <v>35</v>
      </c>
    </row>
    <row r="249" spans="1:7" ht="12.75">
      <c r="A249" s="150" t="str">
        <f t="shared" si="30"/>
        <v>Aug-27-2023 - Sep-02-2023</v>
      </c>
      <c r="B249" s="41">
        <f t="shared" si="28"/>
        <v>45165</v>
      </c>
      <c r="C249" s="41">
        <f t="shared" si="29"/>
        <v>45171</v>
      </c>
      <c r="D249" s="42">
        <f>D248</f>
        <v>45184</v>
      </c>
      <c r="E249" s="42">
        <f t="shared" si="26"/>
        <v>45173</v>
      </c>
      <c r="F249" s="42">
        <f t="shared" si="27"/>
        <v>45174</v>
      </c>
      <c r="G249" s="68">
        <v>36</v>
      </c>
    </row>
    <row r="250" spans="1:7" ht="12.75">
      <c r="A250" s="309" t="str">
        <f t="shared" si="30"/>
        <v>Sep-03-2023 - Sep-09-2023</v>
      </c>
      <c r="B250" s="234">
        <f t="shared" si="28"/>
        <v>45172</v>
      </c>
      <c r="C250" s="234">
        <f t="shared" si="29"/>
        <v>45178</v>
      </c>
      <c r="D250" s="235">
        <f>C251+13</f>
        <v>45198</v>
      </c>
      <c r="E250" s="235">
        <f t="shared" si="26"/>
        <v>45180</v>
      </c>
      <c r="F250" s="235">
        <f t="shared" si="27"/>
        <v>45181</v>
      </c>
      <c r="G250" s="236">
        <v>37</v>
      </c>
    </row>
    <row r="251" spans="1:7" ht="12.75">
      <c r="A251" s="309" t="str">
        <f t="shared" si="30"/>
        <v>Sep-10-2023 - Sep-16-2023</v>
      </c>
      <c r="B251" s="234">
        <f t="shared" si="28"/>
        <v>45179</v>
      </c>
      <c r="C251" s="234">
        <f t="shared" si="29"/>
        <v>45185</v>
      </c>
      <c r="D251" s="235">
        <f>D250</f>
        <v>45198</v>
      </c>
      <c r="E251" s="235">
        <f t="shared" si="26"/>
        <v>45187</v>
      </c>
      <c r="F251" s="235">
        <f t="shared" si="27"/>
        <v>45188</v>
      </c>
      <c r="G251" s="236">
        <v>38</v>
      </c>
    </row>
    <row r="252" spans="1:7" ht="12.75">
      <c r="A252" s="150" t="str">
        <f t="shared" si="30"/>
        <v>Sep-17-2023 - Sep-23-2023</v>
      </c>
      <c r="B252" s="41">
        <f t="shared" si="28"/>
        <v>45186</v>
      </c>
      <c r="C252" s="41">
        <f t="shared" si="29"/>
        <v>45192</v>
      </c>
      <c r="D252" s="42">
        <f>C253+13</f>
        <v>45212</v>
      </c>
      <c r="E252" s="42">
        <f t="shared" si="26"/>
        <v>45194</v>
      </c>
      <c r="F252" s="42">
        <f t="shared" si="27"/>
        <v>45195</v>
      </c>
      <c r="G252" s="68">
        <v>39</v>
      </c>
    </row>
    <row r="253" spans="1:7" ht="12.75">
      <c r="A253" s="150" t="str">
        <f t="shared" si="30"/>
        <v>Sep-24-2023 - Sep-30-2023</v>
      </c>
      <c r="B253" s="41">
        <f t="shared" si="28"/>
        <v>45193</v>
      </c>
      <c r="C253" s="41">
        <f t="shared" si="29"/>
        <v>45199</v>
      </c>
      <c r="D253" s="42">
        <f>D252</f>
        <v>45212</v>
      </c>
      <c r="E253" s="42">
        <f t="shared" si="26"/>
        <v>45201</v>
      </c>
      <c r="F253" s="42">
        <f t="shared" si="27"/>
        <v>45202</v>
      </c>
      <c r="G253" s="68">
        <v>40</v>
      </c>
    </row>
    <row r="254" spans="1:7" ht="12.75">
      <c r="A254" s="309" t="str">
        <f t="shared" si="30"/>
        <v>Oct-01-2023 - Oct-07-2023</v>
      </c>
      <c r="B254" s="234">
        <f t="shared" si="28"/>
        <v>45200</v>
      </c>
      <c r="C254" s="234">
        <f t="shared" si="29"/>
        <v>45206</v>
      </c>
      <c r="D254" s="235">
        <f>C255+13</f>
        <v>45226</v>
      </c>
      <c r="E254" s="235">
        <f t="shared" si="26"/>
        <v>45208</v>
      </c>
      <c r="F254" s="235">
        <f t="shared" si="27"/>
        <v>45209</v>
      </c>
      <c r="G254" s="236">
        <v>41</v>
      </c>
    </row>
    <row r="255" spans="1:7" ht="12.75">
      <c r="A255" s="309" t="str">
        <f t="shared" si="30"/>
        <v>Oct-08-2023 - Oct-14-2023</v>
      </c>
      <c r="B255" s="234">
        <f t="shared" si="28"/>
        <v>45207</v>
      </c>
      <c r="C255" s="234">
        <f t="shared" si="29"/>
        <v>45213</v>
      </c>
      <c r="D255" s="235">
        <f>D254</f>
        <v>45226</v>
      </c>
      <c r="E255" s="235">
        <f t="shared" si="26"/>
        <v>45215</v>
      </c>
      <c r="F255" s="235">
        <f t="shared" si="27"/>
        <v>45216</v>
      </c>
      <c r="G255" s="236">
        <v>42</v>
      </c>
    </row>
    <row r="256" spans="1:7" ht="12.75">
      <c r="A256" s="150" t="str">
        <f t="shared" si="30"/>
        <v>Oct-15-2023 - Oct-21-2023</v>
      </c>
      <c r="B256" s="41">
        <f t="shared" si="28"/>
        <v>45214</v>
      </c>
      <c r="C256" s="41">
        <f t="shared" si="29"/>
        <v>45220</v>
      </c>
      <c r="D256" s="42">
        <f>C257+13</f>
        <v>45240</v>
      </c>
      <c r="E256" s="42">
        <f t="shared" si="26"/>
        <v>45222</v>
      </c>
      <c r="F256" s="42">
        <f t="shared" si="27"/>
        <v>45223</v>
      </c>
      <c r="G256" s="68">
        <v>43</v>
      </c>
    </row>
    <row r="257" spans="1:7" ht="12.75">
      <c r="A257" s="150" t="str">
        <f t="shared" si="30"/>
        <v>Oct-22-2023 - Oct-28-2023</v>
      </c>
      <c r="B257" s="41">
        <f t="shared" si="28"/>
        <v>45221</v>
      </c>
      <c r="C257" s="41">
        <f t="shared" si="29"/>
        <v>45227</v>
      </c>
      <c r="D257" s="42">
        <f>D256</f>
        <v>45240</v>
      </c>
      <c r="E257" s="42">
        <f t="shared" si="26"/>
        <v>45229</v>
      </c>
      <c r="F257" s="42">
        <f t="shared" si="27"/>
        <v>45230</v>
      </c>
      <c r="G257" s="68">
        <v>44</v>
      </c>
    </row>
    <row r="258" spans="1:7" ht="12.75">
      <c r="A258" s="309" t="str">
        <f t="shared" si="30"/>
        <v>Oct-29-2023 - Nov-04-2023</v>
      </c>
      <c r="B258" s="234">
        <f t="shared" si="28"/>
        <v>45228</v>
      </c>
      <c r="C258" s="234">
        <f t="shared" si="29"/>
        <v>45234</v>
      </c>
      <c r="D258" s="235">
        <f>C259+13</f>
        <v>45254</v>
      </c>
      <c r="E258" s="235">
        <f t="shared" si="26"/>
        <v>45236</v>
      </c>
      <c r="F258" s="235">
        <f t="shared" si="27"/>
        <v>45237</v>
      </c>
      <c r="G258" s="236">
        <v>45</v>
      </c>
    </row>
    <row r="259" spans="1:7" ht="12.75">
      <c r="A259" s="309" t="str">
        <f t="shared" si="30"/>
        <v>Nov-05-2023 - Nov-11-2023</v>
      </c>
      <c r="B259" s="234">
        <f t="shared" si="28"/>
        <v>45235</v>
      </c>
      <c r="C259" s="234">
        <f t="shared" si="29"/>
        <v>45241</v>
      </c>
      <c r="D259" s="235">
        <f>D258</f>
        <v>45254</v>
      </c>
      <c r="E259" s="235">
        <f t="shared" si="26"/>
        <v>45243</v>
      </c>
      <c r="F259" s="235">
        <f t="shared" si="27"/>
        <v>45244</v>
      </c>
      <c r="G259" s="236">
        <v>46</v>
      </c>
    </row>
    <row r="260" spans="1:7" ht="12.75">
      <c r="A260" s="150" t="str">
        <f t="shared" si="30"/>
        <v>Nov-12-2023 - Nov-18-2023</v>
      </c>
      <c r="B260" s="41">
        <f t="shared" si="28"/>
        <v>45242</v>
      </c>
      <c r="C260" s="41">
        <f t="shared" si="29"/>
        <v>45248</v>
      </c>
      <c r="D260" s="42">
        <f>C261+13</f>
        <v>45268</v>
      </c>
      <c r="E260" s="42">
        <f t="shared" si="26"/>
        <v>45250</v>
      </c>
      <c r="F260" s="42">
        <f t="shared" si="27"/>
        <v>45251</v>
      </c>
      <c r="G260" s="68">
        <v>47</v>
      </c>
    </row>
    <row r="261" spans="1:7" ht="12.75">
      <c r="A261" s="150" t="str">
        <f t="shared" si="30"/>
        <v>Nov-19-2023 - Nov-25-2023</v>
      </c>
      <c r="B261" s="41">
        <f t="shared" si="28"/>
        <v>45249</v>
      </c>
      <c r="C261" s="41">
        <f t="shared" si="29"/>
        <v>45255</v>
      </c>
      <c r="D261" s="42">
        <f>D260</f>
        <v>45268</v>
      </c>
      <c r="E261" s="42">
        <f t="shared" si="26"/>
        <v>45257</v>
      </c>
      <c r="F261" s="42">
        <f t="shared" si="27"/>
        <v>45258</v>
      </c>
      <c r="G261" s="68">
        <v>48</v>
      </c>
    </row>
    <row r="262" spans="1:7" ht="12.75">
      <c r="A262" s="309" t="str">
        <f t="shared" si="30"/>
        <v>Nov-26-2023 - Dec-02-2023</v>
      </c>
      <c r="B262" s="234">
        <f t="shared" si="28"/>
        <v>45256</v>
      </c>
      <c r="C262" s="234">
        <f t="shared" si="29"/>
        <v>45262</v>
      </c>
      <c r="D262" s="235">
        <f>C263+13</f>
        <v>45282</v>
      </c>
      <c r="E262" s="235">
        <f t="shared" si="26"/>
        <v>45264</v>
      </c>
      <c r="F262" s="235">
        <f t="shared" si="27"/>
        <v>45265</v>
      </c>
      <c r="G262" s="236">
        <v>49</v>
      </c>
    </row>
    <row r="263" spans="1:7" ht="12.75">
      <c r="A263" s="309" t="str">
        <f t="shared" si="30"/>
        <v>Dec-03-2023 - Dec-09-2023</v>
      </c>
      <c r="B263" s="234">
        <f t="shared" si="28"/>
        <v>45263</v>
      </c>
      <c r="C263" s="234">
        <f t="shared" si="29"/>
        <v>45269</v>
      </c>
      <c r="D263" s="235">
        <f>D262</f>
        <v>45282</v>
      </c>
      <c r="E263" s="235">
        <f t="shared" si="26"/>
        <v>45271</v>
      </c>
      <c r="F263" s="235">
        <f t="shared" si="27"/>
        <v>45272</v>
      </c>
      <c r="G263" s="236">
        <v>50</v>
      </c>
    </row>
    <row r="264" spans="1:7" ht="12.75">
      <c r="A264" s="150" t="str">
        <f t="shared" si="30"/>
        <v>Dec-10-2023 - Dec-16-2023</v>
      </c>
      <c r="B264" s="41">
        <f t="shared" si="28"/>
        <v>45270</v>
      </c>
      <c r="C264" s="41">
        <f t="shared" si="29"/>
        <v>45276</v>
      </c>
      <c r="D264" s="42">
        <f>C265+13</f>
        <v>45296</v>
      </c>
      <c r="E264" s="42">
        <f t="shared" si="26"/>
        <v>45278</v>
      </c>
      <c r="F264" s="42">
        <f t="shared" si="27"/>
        <v>45279</v>
      </c>
      <c r="G264" s="68">
        <v>51</v>
      </c>
    </row>
    <row r="265" spans="1:7" ht="12.75">
      <c r="A265" s="150" t="str">
        <f t="shared" si="30"/>
        <v>Dec-17-2023 - Dec-23-2023</v>
      </c>
      <c r="B265" s="41">
        <f t="shared" si="28"/>
        <v>45277</v>
      </c>
      <c r="C265" s="41">
        <f t="shared" si="29"/>
        <v>45283</v>
      </c>
      <c r="D265" s="42">
        <f>D264</f>
        <v>45296</v>
      </c>
      <c r="E265" s="42">
        <f t="shared" si="26"/>
        <v>45285</v>
      </c>
      <c r="F265" s="42">
        <f t="shared" si="27"/>
        <v>45286</v>
      </c>
      <c r="G265" s="68">
        <v>52</v>
      </c>
    </row>
    <row r="266" spans="1:7" ht="12.75">
      <c r="A266" s="309" t="str">
        <f t="shared" si="30"/>
        <v>Dec-24-2023 - Dec-30-2023</v>
      </c>
      <c r="B266" s="234">
        <f t="shared" si="28"/>
        <v>45284</v>
      </c>
      <c r="C266" s="234">
        <f t="shared" si="29"/>
        <v>45290</v>
      </c>
      <c r="D266" s="235">
        <f>C267+13</f>
        <v>45310</v>
      </c>
      <c r="E266" s="235">
        <f t="shared" si="26"/>
        <v>45292</v>
      </c>
      <c r="F266" s="235">
        <f t="shared" si="27"/>
        <v>45293</v>
      </c>
      <c r="G266" s="236">
        <v>1</v>
      </c>
    </row>
    <row r="267" spans="1:7" ht="12.75">
      <c r="A267" s="309" t="str">
        <f t="shared" si="30"/>
        <v>Dec-31-2023 - Jan-06-2024</v>
      </c>
      <c r="B267" s="234">
        <f t="shared" si="28"/>
        <v>45291</v>
      </c>
      <c r="C267" s="234">
        <f t="shared" si="29"/>
        <v>45297</v>
      </c>
      <c r="D267" s="235">
        <f>D266</f>
        <v>45310</v>
      </c>
      <c r="E267" s="235">
        <f t="shared" si="26"/>
        <v>45299</v>
      </c>
      <c r="F267" s="235">
        <f t="shared" si="27"/>
        <v>45300</v>
      </c>
      <c r="G267" s="236">
        <v>2</v>
      </c>
    </row>
    <row r="268" spans="1:7" ht="12.75">
      <c r="A268" s="150" t="str">
        <f t="shared" si="30"/>
        <v>Jan-07-2024 - Jan-13-2024</v>
      </c>
      <c r="B268" s="41">
        <f t="shared" si="28"/>
        <v>45298</v>
      </c>
      <c r="C268" s="41">
        <f t="shared" si="29"/>
        <v>45304</v>
      </c>
      <c r="D268" s="42">
        <f>C269+13</f>
        <v>45324</v>
      </c>
      <c r="E268" s="42">
        <f t="shared" si="26"/>
        <v>45306</v>
      </c>
      <c r="F268" s="42">
        <f t="shared" si="27"/>
        <v>45307</v>
      </c>
      <c r="G268" s="68">
        <v>3</v>
      </c>
    </row>
    <row r="269" spans="1:7" ht="12.75">
      <c r="A269" s="150" t="str">
        <f t="shared" si="30"/>
        <v>Jan-14-2024 - Jan-20-2024</v>
      </c>
      <c r="B269" s="41">
        <f t="shared" si="28"/>
        <v>45305</v>
      </c>
      <c r="C269" s="41">
        <f t="shared" si="29"/>
        <v>45311</v>
      </c>
      <c r="D269" s="42">
        <f>D268</f>
        <v>45324</v>
      </c>
      <c r="E269" s="42">
        <f t="shared" si="26"/>
        <v>45313</v>
      </c>
      <c r="F269" s="42">
        <f t="shared" si="27"/>
        <v>45314</v>
      </c>
      <c r="G269" s="68">
        <v>4</v>
      </c>
    </row>
    <row r="270" spans="1:7" ht="12.75">
      <c r="A270" s="309" t="str">
        <f t="shared" si="30"/>
        <v>Jan-21-2024 - Jan-27-2024</v>
      </c>
      <c r="B270" s="234">
        <f t="shared" si="28"/>
        <v>45312</v>
      </c>
      <c r="C270" s="234">
        <f t="shared" si="29"/>
        <v>45318</v>
      </c>
      <c r="D270" s="235">
        <f>C271+13</f>
        <v>45338</v>
      </c>
      <c r="E270" s="235">
        <f t="shared" si="26"/>
        <v>45320</v>
      </c>
      <c r="F270" s="235">
        <f t="shared" si="27"/>
        <v>45321</v>
      </c>
      <c r="G270" s="236">
        <v>5</v>
      </c>
    </row>
    <row r="271" spans="1:7" ht="12.75">
      <c r="A271" s="309" t="str">
        <f t="shared" si="30"/>
        <v>Jan-28-2024 - Feb-03-2024</v>
      </c>
      <c r="B271" s="234">
        <f t="shared" si="28"/>
        <v>45319</v>
      </c>
      <c r="C271" s="234">
        <f t="shared" si="29"/>
        <v>45325</v>
      </c>
      <c r="D271" s="235">
        <f>D270</f>
        <v>45338</v>
      </c>
      <c r="E271" s="235">
        <f t="shared" si="26"/>
        <v>45327</v>
      </c>
      <c r="F271" s="235">
        <f t="shared" si="27"/>
        <v>45328</v>
      </c>
      <c r="G271" s="236">
        <v>6</v>
      </c>
    </row>
    <row r="272" spans="1:7" ht="12.75">
      <c r="A272" s="150" t="str">
        <f t="shared" si="30"/>
        <v>Feb-04-2024 - Feb-10-2024</v>
      </c>
      <c r="B272" s="41">
        <f t="shared" si="28"/>
        <v>45326</v>
      </c>
      <c r="C272" s="41">
        <f t="shared" si="29"/>
        <v>45332</v>
      </c>
      <c r="D272" s="42">
        <f>C273+13</f>
        <v>45352</v>
      </c>
      <c r="E272" s="42">
        <f t="shared" si="26"/>
        <v>45334</v>
      </c>
      <c r="F272" s="42">
        <f t="shared" si="27"/>
        <v>45335</v>
      </c>
      <c r="G272" s="68">
        <v>7</v>
      </c>
    </row>
    <row r="273" spans="1:7" ht="12.75">
      <c r="A273" s="150" t="str">
        <f t="shared" si="30"/>
        <v>Feb-11-2024 - Feb-17-2024</v>
      </c>
      <c r="B273" s="41">
        <f t="shared" si="28"/>
        <v>45333</v>
      </c>
      <c r="C273" s="41">
        <f t="shared" si="29"/>
        <v>45339</v>
      </c>
      <c r="D273" s="42">
        <f>D272</f>
        <v>45352</v>
      </c>
      <c r="E273" s="42">
        <f t="shared" si="26"/>
        <v>45341</v>
      </c>
      <c r="F273" s="42">
        <f t="shared" si="27"/>
        <v>45342</v>
      </c>
      <c r="G273" s="68">
        <v>8</v>
      </c>
    </row>
    <row r="274" spans="1:7" ht="12.75">
      <c r="A274" s="309" t="str">
        <f t="shared" si="30"/>
        <v>Feb-18-2024 - Feb-24-2024</v>
      </c>
      <c r="B274" s="234">
        <f t="shared" si="28"/>
        <v>45340</v>
      </c>
      <c r="C274" s="234">
        <f t="shared" si="29"/>
        <v>45346</v>
      </c>
      <c r="D274" s="235">
        <f>C275+13</f>
        <v>45366</v>
      </c>
      <c r="E274" s="235">
        <f t="shared" si="26"/>
        <v>45348</v>
      </c>
      <c r="F274" s="235">
        <f t="shared" si="27"/>
        <v>45349</v>
      </c>
      <c r="G274" s="236">
        <v>9</v>
      </c>
    </row>
    <row r="275" spans="1:7" ht="12.75">
      <c r="A275" s="309" t="str">
        <f t="shared" si="30"/>
        <v>Feb-25-2024 - Mar-02-2024</v>
      </c>
      <c r="B275" s="234">
        <f t="shared" si="28"/>
        <v>45347</v>
      </c>
      <c r="C275" s="234">
        <f t="shared" si="29"/>
        <v>45353</v>
      </c>
      <c r="D275" s="235">
        <f>D274</f>
        <v>45366</v>
      </c>
      <c r="E275" s="235">
        <f t="shared" si="26"/>
        <v>45355</v>
      </c>
      <c r="F275" s="235">
        <f t="shared" si="27"/>
        <v>45356</v>
      </c>
      <c r="G275" s="236">
        <v>10</v>
      </c>
    </row>
    <row r="276" spans="1:7" ht="12.75">
      <c r="A276" s="150" t="str">
        <f t="shared" si="30"/>
        <v>Mar-03-2024 - Mar-09-2024</v>
      </c>
      <c r="B276" s="41">
        <f t="shared" si="28"/>
        <v>45354</v>
      </c>
      <c r="C276" s="41">
        <f t="shared" si="29"/>
        <v>45360</v>
      </c>
      <c r="D276" s="42">
        <f>C277+13</f>
        <v>45380</v>
      </c>
      <c r="E276" s="42">
        <f t="shared" si="26"/>
        <v>45362</v>
      </c>
      <c r="F276" s="42">
        <f t="shared" si="27"/>
        <v>45363</v>
      </c>
      <c r="G276" s="68">
        <v>11</v>
      </c>
    </row>
    <row r="277" spans="1:7" ht="12.75">
      <c r="A277" s="150" t="str">
        <f t="shared" si="30"/>
        <v>Mar-10-2024 - Mar-16-2024</v>
      </c>
      <c r="B277" s="41">
        <f t="shared" si="28"/>
        <v>45361</v>
      </c>
      <c r="C277" s="41">
        <f t="shared" si="29"/>
        <v>45367</v>
      </c>
      <c r="D277" s="42">
        <f>D276</f>
        <v>45380</v>
      </c>
      <c r="E277" s="42">
        <f t="shared" si="26"/>
        <v>45369</v>
      </c>
      <c r="F277" s="42">
        <f t="shared" si="27"/>
        <v>45370</v>
      </c>
      <c r="G277" s="68">
        <v>12</v>
      </c>
    </row>
    <row r="278" spans="1:7" ht="12.75">
      <c r="A278" s="309" t="str">
        <f t="shared" si="30"/>
        <v>Mar-17-2024 - Mar-23-2024</v>
      </c>
      <c r="B278" s="234">
        <f t="shared" si="28"/>
        <v>45368</v>
      </c>
      <c r="C278" s="234">
        <f t="shared" si="29"/>
        <v>45374</v>
      </c>
      <c r="D278" s="235">
        <f>C279+13</f>
        <v>45394</v>
      </c>
      <c r="E278" s="235">
        <f t="shared" si="26"/>
        <v>45376</v>
      </c>
      <c r="F278" s="235">
        <f t="shared" si="27"/>
        <v>45377</v>
      </c>
      <c r="G278" s="236">
        <v>13</v>
      </c>
    </row>
    <row r="279" spans="1:7" ht="12.75">
      <c r="A279" s="309" t="str">
        <f t="shared" si="30"/>
        <v>Mar-24-2024 - Mar-30-2024</v>
      </c>
      <c r="B279" s="234">
        <f t="shared" si="28"/>
        <v>45375</v>
      </c>
      <c r="C279" s="234">
        <f t="shared" si="29"/>
        <v>45381</v>
      </c>
      <c r="D279" s="235">
        <f>D278</f>
        <v>45394</v>
      </c>
      <c r="E279" s="235">
        <f t="shared" si="26"/>
        <v>45383</v>
      </c>
      <c r="F279" s="235">
        <f t="shared" si="27"/>
        <v>45384</v>
      </c>
      <c r="G279" s="236">
        <v>14</v>
      </c>
    </row>
    <row r="280" spans="1:7" ht="12.75">
      <c r="A280" s="150" t="str">
        <f t="shared" si="30"/>
        <v>Mar-31-2024 - Apr-06-2024</v>
      </c>
      <c r="B280" s="41">
        <f t="shared" si="28"/>
        <v>45382</v>
      </c>
      <c r="C280" s="41">
        <f t="shared" si="29"/>
        <v>45388</v>
      </c>
      <c r="D280" s="42">
        <f>C281+13</f>
        <v>45408</v>
      </c>
      <c r="E280" s="42">
        <f t="shared" si="26"/>
        <v>45390</v>
      </c>
      <c r="F280" s="42">
        <f t="shared" si="27"/>
        <v>45391</v>
      </c>
      <c r="G280" s="68">
        <v>15</v>
      </c>
    </row>
    <row r="281" spans="1:7" ht="12.75">
      <c r="A281" s="150" t="str">
        <f t="shared" si="30"/>
        <v>Apr-07-2024 - Apr-13-2024</v>
      </c>
      <c r="B281" s="41">
        <f t="shared" si="28"/>
        <v>45389</v>
      </c>
      <c r="C281" s="41">
        <f t="shared" si="29"/>
        <v>45395</v>
      </c>
      <c r="D281" s="42">
        <f>D280</f>
        <v>45408</v>
      </c>
      <c r="E281" s="42">
        <f t="shared" si="26"/>
        <v>45397</v>
      </c>
      <c r="F281" s="42">
        <f t="shared" si="27"/>
        <v>45398</v>
      </c>
      <c r="G281" s="68">
        <v>16</v>
      </c>
    </row>
    <row r="282" spans="1:7" ht="12.75">
      <c r="A282" s="309" t="str">
        <f t="shared" si="30"/>
        <v>Apr-14-2024 - Apr-20-2024</v>
      </c>
      <c r="B282" s="234">
        <f t="shared" si="28"/>
        <v>45396</v>
      </c>
      <c r="C282" s="234">
        <f t="shared" si="29"/>
        <v>45402</v>
      </c>
      <c r="D282" s="235">
        <f>C283+13</f>
        <v>45422</v>
      </c>
      <c r="E282" s="235">
        <f t="shared" si="26"/>
        <v>45404</v>
      </c>
      <c r="F282" s="235">
        <f t="shared" si="27"/>
        <v>45405</v>
      </c>
      <c r="G282" s="236">
        <v>17</v>
      </c>
    </row>
    <row r="283" spans="1:7" ht="12.75">
      <c r="A283" s="309" t="str">
        <f t="shared" si="30"/>
        <v>Apr-21-2024 - Apr-27-2024</v>
      </c>
      <c r="B283" s="234">
        <f t="shared" si="28"/>
        <v>45403</v>
      </c>
      <c r="C283" s="234">
        <f t="shared" si="29"/>
        <v>45409</v>
      </c>
      <c r="D283" s="235">
        <f>D282</f>
        <v>45422</v>
      </c>
      <c r="E283" s="235">
        <f t="shared" si="26"/>
        <v>45411</v>
      </c>
      <c r="F283" s="235">
        <f t="shared" si="27"/>
        <v>45412</v>
      </c>
      <c r="G283" s="236">
        <v>18</v>
      </c>
    </row>
    <row r="284" spans="1:7" ht="12.75">
      <c r="A284" s="150" t="str">
        <f t="shared" si="30"/>
        <v>Apr-28-2024 - May-04-2024</v>
      </c>
      <c r="B284" s="41">
        <f t="shared" si="28"/>
        <v>45410</v>
      </c>
      <c r="C284" s="41">
        <f t="shared" si="29"/>
        <v>45416</v>
      </c>
      <c r="D284" s="42">
        <f>C285+13</f>
        <v>45436</v>
      </c>
      <c r="E284" s="42">
        <f t="shared" si="26"/>
        <v>45418</v>
      </c>
      <c r="F284" s="42">
        <f t="shared" si="27"/>
        <v>45419</v>
      </c>
      <c r="G284" s="68">
        <v>19</v>
      </c>
    </row>
    <row r="285" spans="1:7" ht="12.75">
      <c r="A285" s="150" t="str">
        <f t="shared" si="30"/>
        <v>May-05-2024 - May-11-2024</v>
      </c>
      <c r="B285" s="41">
        <f t="shared" si="28"/>
        <v>45417</v>
      </c>
      <c r="C285" s="41">
        <f t="shared" si="29"/>
        <v>45423</v>
      </c>
      <c r="D285" s="42">
        <f>D284</f>
        <v>45436</v>
      </c>
      <c r="E285" s="42">
        <f t="shared" si="26"/>
        <v>45425</v>
      </c>
      <c r="F285" s="42">
        <f t="shared" si="27"/>
        <v>45426</v>
      </c>
      <c r="G285" s="68">
        <v>20</v>
      </c>
    </row>
    <row r="286" spans="1:7" ht="12.75">
      <c r="A286" s="309" t="str">
        <f t="shared" si="30"/>
        <v>May-12-2024 - May-18-2024</v>
      </c>
      <c r="B286" s="234">
        <f t="shared" si="28"/>
        <v>45424</v>
      </c>
      <c r="C286" s="234">
        <f t="shared" si="29"/>
        <v>45430</v>
      </c>
      <c r="D286" s="235">
        <f>C287+13</f>
        <v>45450</v>
      </c>
      <c r="E286" s="235">
        <f t="shared" si="26"/>
        <v>45432</v>
      </c>
      <c r="F286" s="235">
        <f t="shared" si="27"/>
        <v>45433</v>
      </c>
      <c r="G286" s="236">
        <v>21</v>
      </c>
    </row>
    <row r="287" spans="1:7" ht="12.75">
      <c r="A287" s="309" t="str">
        <f t="shared" si="30"/>
        <v>May-19-2024 - May-25-2024</v>
      </c>
      <c r="B287" s="234">
        <f t="shared" si="28"/>
        <v>45431</v>
      </c>
      <c r="C287" s="234">
        <f t="shared" si="29"/>
        <v>45437</v>
      </c>
      <c r="D287" s="235">
        <f>D286</f>
        <v>45450</v>
      </c>
      <c r="E287" s="235">
        <f t="shared" si="26"/>
        <v>45439</v>
      </c>
      <c r="F287" s="235">
        <f t="shared" si="27"/>
        <v>45440</v>
      </c>
      <c r="G287" s="236">
        <v>22</v>
      </c>
    </row>
    <row r="288" spans="1:7" ht="12.75">
      <c r="A288" s="150" t="str">
        <f t="shared" si="30"/>
        <v>May-26-2024 - Jun-01-2024</v>
      </c>
      <c r="B288" s="41">
        <f t="shared" si="28"/>
        <v>45438</v>
      </c>
      <c r="C288" s="41">
        <f t="shared" si="29"/>
        <v>45444</v>
      </c>
      <c r="D288" s="42">
        <f>C289+13</f>
        <v>45464</v>
      </c>
      <c r="E288" s="42">
        <f t="shared" si="26"/>
        <v>45446</v>
      </c>
      <c r="F288" s="42">
        <f t="shared" si="27"/>
        <v>45447</v>
      </c>
      <c r="G288" s="68">
        <v>23</v>
      </c>
    </row>
    <row r="289" spans="1:7" ht="12.75">
      <c r="A289" s="150" t="str">
        <f t="shared" si="30"/>
        <v>Jun-02-2024 - Jun-08-2024</v>
      </c>
      <c r="B289" s="41">
        <f t="shared" si="28"/>
        <v>45445</v>
      </c>
      <c r="C289" s="41">
        <f t="shared" si="29"/>
        <v>45451</v>
      </c>
      <c r="D289" s="42">
        <f>D288</f>
        <v>45464</v>
      </c>
      <c r="E289" s="42">
        <f t="shared" si="26"/>
        <v>45453</v>
      </c>
      <c r="F289" s="42">
        <f t="shared" si="27"/>
        <v>45454</v>
      </c>
      <c r="G289" s="68">
        <v>24</v>
      </c>
    </row>
    <row r="290" spans="1:7" ht="12.75">
      <c r="A290" s="309" t="str">
        <f t="shared" si="30"/>
        <v>Jun-09-2024 - Jun-15-2024</v>
      </c>
      <c r="B290" s="234">
        <f t="shared" si="28"/>
        <v>45452</v>
      </c>
      <c r="C290" s="234">
        <f t="shared" si="29"/>
        <v>45458</v>
      </c>
      <c r="D290" s="235">
        <f>C291+13</f>
        <v>45478</v>
      </c>
      <c r="E290" s="235">
        <f aca="true" t="shared" si="31" ref="E290:E353">C290+2</f>
        <v>45460</v>
      </c>
      <c r="F290" s="235">
        <f t="shared" si="27"/>
        <v>45461</v>
      </c>
      <c r="G290" s="236">
        <v>25</v>
      </c>
    </row>
    <row r="291" spans="1:7" ht="12.75">
      <c r="A291" s="309" t="str">
        <f t="shared" si="30"/>
        <v>Jun-16-2024 - Jun-22-2024</v>
      </c>
      <c r="B291" s="234">
        <f t="shared" si="28"/>
        <v>45459</v>
      </c>
      <c r="C291" s="234">
        <f t="shared" si="29"/>
        <v>45465</v>
      </c>
      <c r="D291" s="235">
        <f>D290</f>
        <v>45478</v>
      </c>
      <c r="E291" s="235">
        <f t="shared" si="31"/>
        <v>45467</v>
      </c>
      <c r="F291" s="235">
        <f aca="true" t="shared" si="32" ref="F291:F354">E291+1</f>
        <v>45468</v>
      </c>
      <c r="G291" s="236">
        <v>26</v>
      </c>
    </row>
    <row r="292" spans="1:7" ht="12.75">
      <c r="A292" s="150" t="str">
        <f t="shared" si="30"/>
        <v>Jun-23-2024 - Jun-29-2024</v>
      </c>
      <c r="B292" s="41">
        <f t="shared" si="28"/>
        <v>45466</v>
      </c>
      <c r="C292" s="41">
        <f t="shared" si="29"/>
        <v>45472</v>
      </c>
      <c r="D292" s="42">
        <f>C293+13</f>
        <v>45492</v>
      </c>
      <c r="E292" s="42">
        <f t="shared" si="31"/>
        <v>45474</v>
      </c>
      <c r="F292" s="42">
        <f t="shared" si="32"/>
        <v>45475</v>
      </c>
      <c r="G292" s="68">
        <v>27</v>
      </c>
    </row>
    <row r="293" spans="1:7" ht="12.75">
      <c r="A293" s="150" t="str">
        <f t="shared" si="30"/>
        <v>Jun-30-2024 - Jul-06-2024</v>
      </c>
      <c r="B293" s="41">
        <f t="shared" si="28"/>
        <v>45473</v>
      </c>
      <c r="C293" s="41">
        <f t="shared" si="29"/>
        <v>45479</v>
      </c>
      <c r="D293" s="42">
        <f>D292</f>
        <v>45492</v>
      </c>
      <c r="E293" s="42">
        <f t="shared" si="31"/>
        <v>45481</v>
      </c>
      <c r="F293" s="42">
        <f t="shared" si="32"/>
        <v>45482</v>
      </c>
      <c r="G293" s="68">
        <v>28</v>
      </c>
    </row>
    <row r="294" spans="1:7" ht="12.75">
      <c r="A294" s="309" t="str">
        <f t="shared" si="30"/>
        <v>Jul-07-2024 - Jul-13-2024</v>
      </c>
      <c r="B294" s="234">
        <f t="shared" si="28"/>
        <v>45480</v>
      </c>
      <c r="C294" s="234">
        <f t="shared" si="29"/>
        <v>45486</v>
      </c>
      <c r="D294" s="235">
        <f>C295+13</f>
        <v>45506</v>
      </c>
      <c r="E294" s="235">
        <f t="shared" si="31"/>
        <v>45488</v>
      </c>
      <c r="F294" s="235">
        <f t="shared" si="32"/>
        <v>45489</v>
      </c>
      <c r="G294" s="236">
        <v>29</v>
      </c>
    </row>
    <row r="295" spans="1:7" ht="12.75">
      <c r="A295" s="309" t="str">
        <f t="shared" si="30"/>
        <v>Jul-14-2024 - Jul-20-2024</v>
      </c>
      <c r="B295" s="234">
        <f t="shared" si="28"/>
        <v>45487</v>
      </c>
      <c r="C295" s="234">
        <f t="shared" si="29"/>
        <v>45493</v>
      </c>
      <c r="D295" s="235">
        <f>D294</f>
        <v>45506</v>
      </c>
      <c r="E295" s="235">
        <f t="shared" si="31"/>
        <v>45495</v>
      </c>
      <c r="F295" s="235">
        <f t="shared" si="32"/>
        <v>45496</v>
      </c>
      <c r="G295" s="236">
        <v>30</v>
      </c>
    </row>
    <row r="296" spans="1:7" ht="12.75">
      <c r="A296" s="150" t="str">
        <f t="shared" si="30"/>
        <v>Jul-21-2024 - Jul-27-2024</v>
      </c>
      <c r="B296" s="41">
        <f>B295+7</f>
        <v>45494</v>
      </c>
      <c r="C296" s="41">
        <f>B296+6</f>
        <v>45500</v>
      </c>
      <c r="D296" s="42">
        <f>C297+13</f>
        <v>45520</v>
      </c>
      <c r="E296" s="42">
        <f t="shared" si="31"/>
        <v>45502</v>
      </c>
      <c r="F296" s="42">
        <f t="shared" si="32"/>
        <v>45503</v>
      </c>
      <c r="G296" s="68">
        <v>31</v>
      </c>
    </row>
    <row r="297" spans="1:7" ht="12.75">
      <c r="A297" s="150" t="str">
        <f t="shared" si="30"/>
        <v>Jul-28-2024 - Aug-03-2024</v>
      </c>
      <c r="B297" s="41">
        <f>B296+7</f>
        <v>45501</v>
      </c>
      <c r="C297" s="41">
        <f>B297+6</f>
        <v>45507</v>
      </c>
      <c r="D297" s="42">
        <f>D296</f>
        <v>45520</v>
      </c>
      <c r="E297" s="42">
        <f t="shared" si="31"/>
        <v>45509</v>
      </c>
      <c r="F297" s="42">
        <f t="shared" si="32"/>
        <v>45510</v>
      </c>
      <c r="G297" s="68">
        <v>32</v>
      </c>
    </row>
    <row r="298" spans="1:7" ht="12.75">
      <c r="A298" s="309" t="str">
        <f t="shared" si="30"/>
        <v>Aug-04-2024 - Aug-10-2024</v>
      </c>
      <c r="B298" s="234">
        <f>B297+7</f>
        <v>45508</v>
      </c>
      <c r="C298" s="234">
        <f>B298+6</f>
        <v>45514</v>
      </c>
      <c r="D298" s="235">
        <f>C299+13</f>
        <v>45534</v>
      </c>
      <c r="E298" s="235">
        <f t="shared" si="31"/>
        <v>45516</v>
      </c>
      <c r="F298" s="235">
        <f t="shared" si="32"/>
        <v>45517</v>
      </c>
      <c r="G298" s="236">
        <v>33</v>
      </c>
    </row>
    <row r="299" spans="1:7" ht="12.75">
      <c r="A299" s="309" t="str">
        <f t="shared" si="30"/>
        <v>Aug-11-2024 - Aug-17-2024</v>
      </c>
      <c r="B299" s="234">
        <f aca="true" t="shared" si="33" ref="B299:B314">B298+7</f>
        <v>45515</v>
      </c>
      <c r="C299" s="234">
        <f aca="true" t="shared" si="34" ref="C299:C362">B299+6</f>
        <v>45521</v>
      </c>
      <c r="D299" s="235">
        <f>D298</f>
        <v>45534</v>
      </c>
      <c r="E299" s="235">
        <f t="shared" si="31"/>
        <v>45523</v>
      </c>
      <c r="F299" s="235">
        <f t="shared" si="32"/>
        <v>45524</v>
      </c>
      <c r="G299" s="236">
        <v>34</v>
      </c>
    </row>
    <row r="300" spans="1:7" ht="12.75">
      <c r="A300" s="150" t="str">
        <f t="shared" si="30"/>
        <v>Aug-18-2024 - Aug-24-2024</v>
      </c>
      <c r="B300" s="41">
        <f t="shared" si="33"/>
        <v>45522</v>
      </c>
      <c r="C300" s="41">
        <f t="shared" si="34"/>
        <v>45528</v>
      </c>
      <c r="D300" s="42">
        <f>C301+13</f>
        <v>45548</v>
      </c>
      <c r="E300" s="42">
        <f t="shared" si="31"/>
        <v>45530</v>
      </c>
      <c r="F300" s="42">
        <f t="shared" si="32"/>
        <v>45531</v>
      </c>
      <c r="G300" s="68">
        <v>35</v>
      </c>
    </row>
    <row r="301" spans="1:7" ht="12.75">
      <c r="A301" s="150" t="str">
        <f aca="true" t="shared" si="35" ref="A301:A364">CONCATENATE(TEXT(B301,"mmm-dd-yyyy")," - ",(TEXT(C301,"mmm-dd-yyyy")))</f>
        <v>Aug-25-2024 - Aug-31-2024</v>
      </c>
      <c r="B301" s="41">
        <f t="shared" si="33"/>
        <v>45529</v>
      </c>
      <c r="C301" s="41">
        <f t="shared" si="34"/>
        <v>45535</v>
      </c>
      <c r="D301" s="42">
        <f>D300</f>
        <v>45548</v>
      </c>
      <c r="E301" s="42">
        <f t="shared" si="31"/>
        <v>45537</v>
      </c>
      <c r="F301" s="42">
        <f t="shared" si="32"/>
        <v>45538</v>
      </c>
      <c r="G301" s="68">
        <v>36</v>
      </c>
    </row>
    <row r="302" spans="1:7" ht="12.75">
      <c r="A302" s="309" t="str">
        <f t="shared" si="35"/>
        <v>Sep-01-2024 - Sep-07-2024</v>
      </c>
      <c r="B302" s="234">
        <f t="shared" si="33"/>
        <v>45536</v>
      </c>
      <c r="C302" s="234">
        <f t="shared" si="34"/>
        <v>45542</v>
      </c>
      <c r="D302" s="235">
        <f>C303+13</f>
        <v>45562</v>
      </c>
      <c r="E302" s="235">
        <f t="shared" si="31"/>
        <v>45544</v>
      </c>
      <c r="F302" s="235">
        <f t="shared" si="32"/>
        <v>45545</v>
      </c>
      <c r="G302" s="236">
        <v>37</v>
      </c>
    </row>
    <row r="303" spans="1:7" ht="12.75">
      <c r="A303" s="309" t="str">
        <f t="shared" si="35"/>
        <v>Sep-08-2024 - Sep-14-2024</v>
      </c>
      <c r="B303" s="234">
        <f t="shared" si="33"/>
        <v>45543</v>
      </c>
      <c r="C303" s="234">
        <f t="shared" si="34"/>
        <v>45549</v>
      </c>
      <c r="D303" s="235">
        <f>D302</f>
        <v>45562</v>
      </c>
      <c r="E303" s="235">
        <f t="shared" si="31"/>
        <v>45551</v>
      </c>
      <c r="F303" s="235">
        <f t="shared" si="32"/>
        <v>45552</v>
      </c>
      <c r="G303" s="236">
        <v>38</v>
      </c>
    </row>
    <row r="304" spans="1:7" ht="12.75">
      <c r="A304" s="150" t="str">
        <f t="shared" si="35"/>
        <v>Sep-15-2024 - Sep-21-2024</v>
      </c>
      <c r="B304" s="41">
        <f t="shared" si="33"/>
        <v>45550</v>
      </c>
      <c r="C304" s="41">
        <f t="shared" si="34"/>
        <v>45556</v>
      </c>
      <c r="D304" s="42">
        <f>C305+13</f>
        <v>45576</v>
      </c>
      <c r="E304" s="42">
        <f t="shared" si="31"/>
        <v>45558</v>
      </c>
      <c r="F304" s="42">
        <f t="shared" si="32"/>
        <v>45559</v>
      </c>
      <c r="G304" s="68">
        <v>39</v>
      </c>
    </row>
    <row r="305" spans="1:7" ht="12.75">
      <c r="A305" s="150" t="str">
        <f t="shared" si="35"/>
        <v>Sep-22-2024 - Sep-28-2024</v>
      </c>
      <c r="B305" s="41">
        <f t="shared" si="33"/>
        <v>45557</v>
      </c>
      <c r="C305" s="41">
        <f t="shared" si="34"/>
        <v>45563</v>
      </c>
      <c r="D305" s="42">
        <f>D304</f>
        <v>45576</v>
      </c>
      <c r="E305" s="42">
        <f t="shared" si="31"/>
        <v>45565</v>
      </c>
      <c r="F305" s="42">
        <f t="shared" si="32"/>
        <v>45566</v>
      </c>
      <c r="G305" s="68">
        <v>40</v>
      </c>
    </row>
    <row r="306" spans="1:7" ht="12.75">
      <c r="A306" s="309" t="str">
        <f t="shared" si="35"/>
        <v>Sep-29-2024 - Oct-05-2024</v>
      </c>
      <c r="B306" s="234">
        <f t="shared" si="33"/>
        <v>45564</v>
      </c>
      <c r="C306" s="234">
        <f t="shared" si="34"/>
        <v>45570</v>
      </c>
      <c r="D306" s="235">
        <f>C307+13</f>
        <v>45590</v>
      </c>
      <c r="E306" s="235">
        <f t="shared" si="31"/>
        <v>45572</v>
      </c>
      <c r="F306" s="235">
        <f t="shared" si="32"/>
        <v>45573</v>
      </c>
      <c r="G306" s="236">
        <v>41</v>
      </c>
    </row>
    <row r="307" spans="1:7" ht="12.75">
      <c r="A307" s="309" t="str">
        <f t="shared" si="35"/>
        <v>Oct-06-2024 - Oct-12-2024</v>
      </c>
      <c r="B307" s="234">
        <f t="shared" si="33"/>
        <v>45571</v>
      </c>
      <c r="C307" s="234">
        <f t="shared" si="34"/>
        <v>45577</v>
      </c>
      <c r="D307" s="235">
        <f>D306</f>
        <v>45590</v>
      </c>
      <c r="E307" s="235">
        <f t="shared" si="31"/>
        <v>45579</v>
      </c>
      <c r="F307" s="235">
        <f t="shared" si="32"/>
        <v>45580</v>
      </c>
      <c r="G307" s="236">
        <v>42</v>
      </c>
    </row>
    <row r="308" spans="1:7" ht="12.75">
      <c r="A308" s="150" t="str">
        <f t="shared" si="35"/>
        <v>Oct-13-2024 - Oct-19-2024</v>
      </c>
      <c r="B308" s="41">
        <f t="shared" si="33"/>
        <v>45578</v>
      </c>
      <c r="C308" s="41">
        <f t="shared" si="34"/>
        <v>45584</v>
      </c>
      <c r="D308" s="42">
        <f>C309+13</f>
        <v>45604</v>
      </c>
      <c r="E308" s="42">
        <f t="shared" si="31"/>
        <v>45586</v>
      </c>
      <c r="F308" s="42">
        <f t="shared" si="32"/>
        <v>45587</v>
      </c>
      <c r="G308" s="68">
        <v>43</v>
      </c>
    </row>
    <row r="309" spans="1:7" ht="12.75">
      <c r="A309" s="150" t="str">
        <f t="shared" si="35"/>
        <v>Oct-20-2024 - Oct-26-2024</v>
      </c>
      <c r="B309" s="41">
        <f t="shared" si="33"/>
        <v>45585</v>
      </c>
      <c r="C309" s="41">
        <f t="shared" si="34"/>
        <v>45591</v>
      </c>
      <c r="D309" s="42">
        <f>D308</f>
        <v>45604</v>
      </c>
      <c r="E309" s="42">
        <f t="shared" si="31"/>
        <v>45593</v>
      </c>
      <c r="F309" s="42">
        <f t="shared" si="32"/>
        <v>45594</v>
      </c>
      <c r="G309" s="68">
        <v>44</v>
      </c>
    </row>
    <row r="310" spans="1:7" ht="12.75">
      <c r="A310" s="309" t="str">
        <f t="shared" si="35"/>
        <v>Oct-27-2024 - Nov-02-2024</v>
      </c>
      <c r="B310" s="234">
        <f t="shared" si="33"/>
        <v>45592</v>
      </c>
      <c r="C310" s="234">
        <f t="shared" si="34"/>
        <v>45598</v>
      </c>
      <c r="D310" s="235">
        <f>C311+13</f>
        <v>45618</v>
      </c>
      <c r="E310" s="235">
        <f t="shared" si="31"/>
        <v>45600</v>
      </c>
      <c r="F310" s="235">
        <f t="shared" si="32"/>
        <v>45601</v>
      </c>
      <c r="G310" s="236">
        <v>45</v>
      </c>
    </row>
    <row r="311" spans="1:7" ht="12.75">
      <c r="A311" s="309" t="str">
        <f t="shared" si="35"/>
        <v>Nov-03-2024 - Nov-09-2024</v>
      </c>
      <c r="B311" s="234">
        <f t="shared" si="33"/>
        <v>45599</v>
      </c>
      <c r="C311" s="234">
        <f t="shared" si="34"/>
        <v>45605</v>
      </c>
      <c r="D311" s="235">
        <f>D310</f>
        <v>45618</v>
      </c>
      <c r="E311" s="235">
        <f t="shared" si="31"/>
        <v>45607</v>
      </c>
      <c r="F311" s="235">
        <f t="shared" si="32"/>
        <v>45608</v>
      </c>
      <c r="G311" s="236">
        <v>46</v>
      </c>
    </row>
    <row r="312" spans="1:7" ht="12.75">
      <c r="A312" s="150" t="str">
        <f t="shared" si="35"/>
        <v>Nov-10-2024 - Nov-16-2024</v>
      </c>
      <c r="B312" s="41">
        <f t="shared" si="33"/>
        <v>45606</v>
      </c>
      <c r="C312" s="41">
        <f t="shared" si="34"/>
        <v>45612</v>
      </c>
      <c r="D312" s="42">
        <f>C313+13</f>
        <v>45632</v>
      </c>
      <c r="E312" s="42">
        <f t="shared" si="31"/>
        <v>45614</v>
      </c>
      <c r="F312" s="42">
        <f t="shared" si="32"/>
        <v>45615</v>
      </c>
      <c r="G312" s="68">
        <v>47</v>
      </c>
    </row>
    <row r="313" spans="1:7" ht="12.75">
      <c r="A313" s="150" t="str">
        <f t="shared" si="35"/>
        <v>Nov-17-2024 - Nov-23-2024</v>
      </c>
      <c r="B313" s="41">
        <f t="shared" si="33"/>
        <v>45613</v>
      </c>
      <c r="C313" s="41">
        <f t="shared" si="34"/>
        <v>45619</v>
      </c>
      <c r="D313" s="42">
        <f>D312</f>
        <v>45632</v>
      </c>
      <c r="E313" s="42">
        <f t="shared" si="31"/>
        <v>45621</v>
      </c>
      <c r="F313" s="42">
        <f t="shared" si="32"/>
        <v>45622</v>
      </c>
      <c r="G313" s="68">
        <v>48</v>
      </c>
    </row>
    <row r="314" spans="1:7" ht="12.75">
      <c r="A314" s="309" t="str">
        <f t="shared" si="35"/>
        <v>Nov-24-2024 - Nov-30-2024</v>
      </c>
      <c r="B314" s="234">
        <f t="shared" si="33"/>
        <v>45620</v>
      </c>
      <c r="C314" s="234">
        <f t="shared" si="34"/>
        <v>45626</v>
      </c>
      <c r="D314" s="235">
        <f>C315+13</f>
        <v>45646</v>
      </c>
      <c r="E314" s="235">
        <f t="shared" si="31"/>
        <v>45628</v>
      </c>
      <c r="F314" s="235">
        <f t="shared" si="32"/>
        <v>45629</v>
      </c>
      <c r="G314" s="236">
        <v>49</v>
      </c>
    </row>
    <row r="315" spans="1:7" ht="12.75">
      <c r="A315" s="309" t="str">
        <f t="shared" si="35"/>
        <v>Dec-01-2024 - Dec-07-2024</v>
      </c>
      <c r="B315" s="234">
        <f>B314+7</f>
        <v>45627</v>
      </c>
      <c r="C315" s="234">
        <f t="shared" si="34"/>
        <v>45633</v>
      </c>
      <c r="D315" s="235">
        <f>D314</f>
        <v>45646</v>
      </c>
      <c r="E315" s="235">
        <f t="shared" si="31"/>
        <v>45635</v>
      </c>
      <c r="F315" s="235">
        <f t="shared" si="32"/>
        <v>45636</v>
      </c>
      <c r="G315" s="236">
        <v>50</v>
      </c>
    </row>
    <row r="316" spans="1:7" ht="12.75">
      <c r="A316" s="150" t="str">
        <f t="shared" si="35"/>
        <v>Dec-08-2024 - Dec-14-2024</v>
      </c>
      <c r="B316" s="41">
        <f>B315+7</f>
        <v>45634</v>
      </c>
      <c r="C316" s="41">
        <f t="shared" si="34"/>
        <v>45640</v>
      </c>
      <c r="D316" s="42">
        <f>C317+13</f>
        <v>45660</v>
      </c>
      <c r="E316" s="42">
        <f t="shared" si="31"/>
        <v>45642</v>
      </c>
      <c r="F316" s="42">
        <f t="shared" si="32"/>
        <v>45643</v>
      </c>
      <c r="G316" s="68">
        <v>51</v>
      </c>
    </row>
    <row r="317" spans="1:7" ht="12.75">
      <c r="A317" s="150" t="str">
        <f t="shared" si="35"/>
        <v>Dec-15-2024 - Dec-21-2024</v>
      </c>
      <c r="B317" s="41">
        <f>B316+7</f>
        <v>45641</v>
      </c>
      <c r="C317" s="41">
        <f t="shared" si="34"/>
        <v>45647</v>
      </c>
      <c r="D317" s="42">
        <f>D316</f>
        <v>45660</v>
      </c>
      <c r="E317" s="42">
        <f t="shared" si="31"/>
        <v>45649</v>
      </c>
      <c r="F317" s="42">
        <f t="shared" si="32"/>
        <v>45650</v>
      </c>
      <c r="G317" s="68">
        <v>52</v>
      </c>
    </row>
    <row r="318" spans="1:7" ht="12.75">
      <c r="A318" s="309" t="str">
        <f t="shared" si="35"/>
        <v>Dec-22-2024 - Dec-28-2024</v>
      </c>
      <c r="B318" s="234">
        <f>B317+7</f>
        <v>45648</v>
      </c>
      <c r="C318" s="234">
        <f t="shared" si="34"/>
        <v>45654</v>
      </c>
      <c r="D318" s="235">
        <f>C319+13</f>
        <v>45674</v>
      </c>
      <c r="E318" s="235">
        <f t="shared" si="31"/>
        <v>45656</v>
      </c>
      <c r="F318" s="235">
        <f t="shared" si="32"/>
        <v>45657</v>
      </c>
      <c r="G318" s="236">
        <v>1</v>
      </c>
    </row>
    <row r="319" spans="1:7" ht="12.75">
      <c r="A319" s="309" t="str">
        <f t="shared" si="35"/>
        <v>Dec-29-2024 - Jan-04-2025</v>
      </c>
      <c r="B319" s="234">
        <f aca="true" t="shared" si="36" ref="B319:B334">B318+7</f>
        <v>45655</v>
      </c>
      <c r="C319" s="234">
        <f t="shared" si="34"/>
        <v>45661</v>
      </c>
      <c r="D319" s="235">
        <f>D318</f>
        <v>45674</v>
      </c>
      <c r="E319" s="235">
        <f t="shared" si="31"/>
        <v>45663</v>
      </c>
      <c r="F319" s="235">
        <f t="shared" si="32"/>
        <v>45664</v>
      </c>
      <c r="G319" s="236">
        <v>2</v>
      </c>
    </row>
    <row r="320" spans="1:7" ht="12.75">
      <c r="A320" s="150" t="str">
        <f t="shared" si="35"/>
        <v>Jan-05-2025 - Jan-11-2025</v>
      </c>
      <c r="B320" s="41">
        <f t="shared" si="36"/>
        <v>45662</v>
      </c>
      <c r="C320" s="41">
        <f t="shared" si="34"/>
        <v>45668</v>
      </c>
      <c r="D320" s="42">
        <f>C321+13</f>
        <v>45688</v>
      </c>
      <c r="E320" s="42">
        <f t="shared" si="31"/>
        <v>45670</v>
      </c>
      <c r="F320" s="42">
        <f t="shared" si="32"/>
        <v>45671</v>
      </c>
      <c r="G320" s="68">
        <v>3</v>
      </c>
    </row>
    <row r="321" spans="1:7" ht="12.75">
      <c r="A321" s="150" t="str">
        <f t="shared" si="35"/>
        <v>Jan-12-2025 - Jan-18-2025</v>
      </c>
      <c r="B321" s="41">
        <f t="shared" si="36"/>
        <v>45669</v>
      </c>
      <c r="C321" s="41">
        <f t="shared" si="34"/>
        <v>45675</v>
      </c>
      <c r="D321" s="42">
        <f>D320</f>
        <v>45688</v>
      </c>
      <c r="E321" s="42">
        <f t="shared" si="31"/>
        <v>45677</v>
      </c>
      <c r="F321" s="42">
        <f t="shared" si="32"/>
        <v>45678</v>
      </c>
      <c r="G321" s="68">
        <v>4</v>
      </c>
    </row>
    <row r="322" spans="1:7" ht="12.75">
      <c r="A322" s="309" t="str">
        <f t="shared" si="35"/>
        <v>Jan-19-2025 - Jan-25-2025</v>
      </c>
      <c r="B322" s="234">
        <f t="shared" si="36"/>
        <v>45676</v>
      </c>
      <c r="C322" s="234">
        <f t="shared" si="34"/>
        <v>45682</v>
      </c>
      <c r="D322" s="235">
        <f>C323+13</f>
        <v>45702</v>
      </c>
      <c r="E322" s="235">
        <f t="shared" si="31"/>
        <v>45684</v>
      </c>
      <c r="F322" s="235">
        <f t="shared" si="32"/>
        <v>45685</v>
      </c>
      <c r="G322" s="236">
        <v>5</v>
      </c>
    </row>
    <row r="323" spans="1:7" ht="12.75">
      <c r="A323" s="309" t="str">
        <f t="shared" si="35"/>
        <v>Jan-26-2025 - Feb-01-2025</v>
      </c>
      <c r="B323" s="234">
        <f t="shared" si="36"/>
        <v>45683</v>
      </c>
      <c r="C323" s="234">
        <f t="shared" si="34"/>
        <v>45689</v>
      </c>
      <c r="D323" s="235">
        <f>D322</f>
        <v>45702</v>
      </c>
      <c r="E323" s="235">
        <f t="shared" si="31"/>
        <v>45691</v>
      </c>
      <c r="F323" s="235">
        <f t="shared" si="32"/>
        <v>45692</v>
      </c>
      <c r="G323" s="236">
        <v>6</v>
      </c>
    </row>
    <row r="324" spans="1:7" ht="12.75">
      <c r="A324" s="150" t="str">
        <f t="shared" si="35"/>
        <v>Feb-02-2025 - Feb-08-2025</v>
      </c>
      <c r="B324" s="41">
        <f t="shared" si="36"/>
        <v>45690</v>
      </c>
      <c r="C324" s="41">
        <f t="shared" si="34"/>
        <v>45696</v>
      </c>
      <c r="D324" s="42">
        <f>C325+13</f>
        <v>45716</v>
      </c>
      <c r="E324" s="42">
        <f t="shared" si="31"/>
        <v>45698</v>
      </c>
      <c r="F324" s="42">
        <f t="shared" si="32"/>
        <v>45699</v>
      </c>
      <c r="G324" s="68">
        <v>7</v>
      </c>
    </row>
    <row r="325" spans="1:7" ht="12.75">
      <c r="A325" s="150" t="str">
        <f t="shared" si="35"/>
        <v>Feb-09-2025 - Feb-15-2025</v>
      </c>
      <c r="B325" s="41">
        <f t="shared" si="36"/>
        <v>45697</v>
      </c>
      <c r="C325" s="41">
        <f t="shared" si="34"/>
        <v>45703</v>
      </c>
      <c r="D325" s="42">
        <f>D324</f>
        <v>45716</v>
      </c>
      <c r="E325" s="42">
        <f t="shared" si="31"/>
        <v>45705</v>
      </c>
      <c r="F325" s="42">
        <f t="shared" si="32"/>
        <v>45706</v>
      </c>
      <c r="G325" s="68">
        <v>8</v>
      </c>
    </row>
    <row r="326" spans="1:7" ht="12.75">
      <c r="A326" s="309" t="str">
        <f t="shared" si="35"/>
        <v>Feb-16-2025 - Feb-22-2025</v>
      </c>
      <c r="B326" s="234">
        <f t="shared" si="36"/>
        <v>45704</v>
      </c>
      <c r="C326" s="234">
        <f t="shared" si="34"/>
        <v>45710</v>
      </c>
      <c r="D326" s="235">
        <f>C327+13</f>
        <v>45730</v>
      </c>
      <c r="E326" s="235">
        <f t="shared" si="31"/>
        <v>45712</v>
      </c>
      <c r="F326" s="235">
        <f t="shared" si="32"/>
        <v>45713</v>
      </c>
      <c r="G326" s="236">
        <v>9</v>
      </c>
    </row>
    <row r="327" spans="1:7" ht="12.75">
      <c r="A327" s="309" t="str">
        <f t="shared" si="35"/>
        <v>Feb-23-2025 - Mar-01-2025</v>
      </c>
      <c r="B327" s="234">
        <f t="shared" si="36"/>
        <v>45711</v>
      </c>
      <c r="C327" s="234">
        <f t="shared" si="34"/>
        <v>45717</v>
      </c>
      <c r="D327" s="235">
        <f>D326</f>
        <v>45730</v>
      </c>
      <c r="E327" s="235">
        <f t="shared" si="31"/>
        <v>45719</v>
      </c>
      <c r="F327" s="235">
        <f t="shared" si="32"/>
        <v>45720</v>
      </c>
      <c r="G327" s="236">
        <v>10</v>
      </c>
    </row>
    <row r="328" spans="1:7" ht="12.75">
      <c r="A328" s="150" t="str">
        <f t="shared" si="35"/>
        <v>Mar-02-2025 - Mar-08-2025</v>
      </c>
      <c r="B328" s="41">
        <f t="shared" si="36"/>
        <v>45718</v>
      </c>
      <c r="C328" s="41">
        <f t="shared" si="34"/>
        <v>45724</v>
      </c>
      <c r="D328" s="42">
        <f>C329+13</f>
        <v>45744</v>
      </c>
      <c r="E328" s="42">
        <f t="shared" si="31"/>
        <v>45726</v>
      </c>
      <c r="F328" s="42">
        <f t="shared" si="32"/>
        <v>45727</v>
      </c>
      <c r="G328" s="68">
        <v>11</v>
      </c>
    </row>
    <row r="329" spans="1:7" ht="12.75">
      <c r="A329" s="150" t="str">
        <f t="shared" si="35"/>
        <v>Mar-09-2025 - Mar-15-2025</v>
      </c>
      <c r="B329" s="41">
        <f t="shared" si="36"/>
        <v>45725</v>
      </c>
      <c r="C329" s="41">
        <f t="shared" si="34"/>
        <v>45731</v>
      </c>
      <c r="D329" s="42">
        <f>D328</f>
        <v>45744</v>
      </c>
      <c r="E329" s="42">
        <f t="shared" si="31"/>
        <v>45733</v>
      </c>
      <c r="F329" s="42">
        <f t="shared" si="32"/>
        <v>45734</v>
      </c>
      <c r="G329" s="68">
        <v>12</v>
      </c>
    </row>
    <row r="330" spans="1:7" ht="12.75">
      <c r="A330" s="309" t="str">
        <f t="shared" si="35"/>
        <v>Mar-16-2025 - Mar-22-2025</v>
      </c>
      <c r="B330" s="234">
        <f t="shared" si="36"/>
        <v>45732</v>
      </c>
      <c r="C330" s="234">
        <f t="shared" si="34"/>
        <v>45738</v>
      </c>
      <c r="D330" s="235">
        <f>C331+13</f>
        <v>45758</v>
      </c>
      <c r="E330" s="235">
        <f t="shared" si="31"/>
        <v>45740</v>
      </c>
      <c r="F330" s="235">
        <f t="shared" si="32"/>
        <v>45741</v>
      </c>
      <c r="G330" s="236">
        <v>13</v>
      </c>
    </row>
    <row r="331" spans="1:7" ht="12.75">
      <c r="A331" s="309" t="str">
        <f t="shared" si="35"/>
        <v>Mar-23-2025 - Mar-29-2025</v>
      </c>
      <c r="B331" s="234">
        <f t="shared" si="36"/>
        <v>45739</v>
      </c>
      <c r="C331" s="234">
        <f t="shared" si="34"/>
        <v>45745</v>
      </c>
      <c r="D331" s="235">
        <f>D330</f>
        <v>45758</v>
      </c>
      <c r="E331" s="235">
        <f t="shared" si="31"/>
        <v>45747</v>
      </c>
      <c r="F331" s="235">
        <f t="shared" si="32"/>
        <v>45748</v>
      </c>
      <c r="G331" s="236">
        <v>14</v>
      </c>
    </row>
    <row r="332" spans="1:7" ht="12.75">
      <c r="A332" s="150" t="str">
        <f t="shared" si="35"/>
        <v>Mar-30-2025 - Apr-05-2025</v>
      </c>
      <c r="B332" s="41">
        <f t="shared" si="36"/>
        <v>45746</v>
      </c>
      <c r="C332" s="41">
        <f t="shared" si="34"/>
        <v>45752</v>
      </c>
      <c r="D332" s="42">
        <f>C333+13</f>
        <v>45772</v>
      </c>
      <c r="E332" s="42">
        <f t="shared" si="31"/>
        <v>45754</v>
      </c>
      <c r="F332" s="42">
        <f t="shared" si="32"/>
        <v>45755</v>
      </c>
      <c r="G332" s="68">
        <v>15</v>
      </c>
    </row>
    <row r="333" spans="1:7" ht="12.75">
      <c r="A333" s="150" t="str">
        <f t="shared" si="35"/>
        <v>Apr-06-2025 - Apr-12-2025</v>
      </c>
      <c r="B333" s="41">
        <f t="shared" si="36"/>
        <v>45753</v>
      </c>
      <c r="C333" s="41">
        <f t="shared" si="34"/>
        <v>45759</v>
      </c>
      <c r="D333" s="42">
        <f>D332</f>
        <v>45772</v>
      </c>
      <c r="E333" s="42">
        <f t="shared" si="31"/>
        <v>45761</v>
      </c>
      <c r="F333" s="42">
        <f t="shared" si="32"/>
        <v>45762</v>
      </c>
      <c r="G333" s="68">
        <v>16</v>
      </c>
    </row>
    <row r="334" spans="1:7" ht="12.75">
      <c r="A334" s="309" t="str">
        <f t="shared" si="35"/>
        <v>Apr-13-2025 - Apr-19-2025</v>
      </c>
      <c r="B334" s="234">
        <f t="shared" si="36"/>
        <v>45760</v>
      </c>
      <c r="C334" s="234">
        <f t="shared" si="34"/>
        <v>45766</v>
      </c>
      <c r="D334" s="235">
        <f>C335+13</f>
        <v>45786</v>
      </c>
      <c r="E334" s="235">
        <f t="shared" si="31"/>
        <v>45768</v>
      </c>
      <c r="F334" s="235">
        <f t="shared" si="32"/>
        <v>45769</v>
      </c>
      <c r="G334" s="236">
        <v>17</v>
      </c>
    </row>
    <row r="335" spans="1:7" ht="12.75">
      <c r="A335" s="309" t="str">
        <f t="shared" si="35"/>
        <v>Apr-20-2025 - Apr-26-2025</v>
      </c>
      <c r="B335" s="234">
        <f>B334+7</f>
        <v>45767</v>
      </c>
      <c r="C335" s="234">
        <f t="shared" si="34"/>
        <v>45773</v>
      </c>
      <c r="D335" s="235">
        <f>D334</f>
        <v>45786</v>
      </c>
      <c r="E335" s="235">
        <f t="shared" si="31"/>
        <v>45775</v>
      </c>
      <c r="F335" s="235">
        <f t="shared" si="32"/>
        <v>45776</v>
      </c>
      <c r="G335" s="236">
        <v>18</v>
      </c>
    </row>
    <row r="336" spans="1:7" ht="12.75">
      <c r="A336" s="150" t="str">
        <f t="shared" si="35"/>
        <v>Apr-27-2025 - May-03-2025</v>
      </c>
      <c r="B336" s="41">
        <f>B335+7</f>
        <v>45774</v>
      </c>
      <c r="C336" s="41">
        <f t="shared" si="34"/>
        <v>45780</v>
      </c>
      <c r="D336" s="42">
        <f>C337+13</f>
        <v>45800</v>
      </c>
      <c r="E336" s="42">
        <f t="shared" si="31"/>
        <v>45782</v>
      </c>
      <c r="F336" s="42">
        <f t="shared" si="32"/>
        <v>45783</v>
      </c>
      <c r="G336" s="68">
        <v>19</v>
      </c>
    </row>
    <row r="337" spans="1:7" ht="12.75">
      <c r="A337" s="150" t="str">
        <f t="shared" si="35"/>
        <v>May-04-2025 - May-10-2025</v>
      </c>
      <c r="B337" s="41">
        <f>B336+7</f>
        <v>45781</v>
      </c>
      <c r="C337" s="41">
        <f t="shared" si="34"/>
        <v>45787</v>
      </c>
      <c r="D337" s="42">
        <f>D336</f>
        <v>45800</v>
      </c>
      <c r="E337" s="42">
        <f t="shared" si="31"/>
        <v>45789</v>
      </c>
      <c r="F337" s="42">
        <f t="shared" si="32"/>
        <v>45790</v>
      </c>
      <c r="G337" s="68">
        <v>20</v>
      </c>
    </row>
    <row r="338" spans="1:7" ht="12.75">
      <c r="A338" s="309" t="str">
        <f t="shared" si="35"/>
        <v>May-11-2025 - May-17-2025</v>
      </c>
      <c r="B338" s="234">
        <f>B337+7</f>
        <v>45788</v>
      </c>
      <c r="C338" s="234">
        <f t="shared" si="34"/>
        <v>45794</v>
      </c>
      <c r="D338" s="235">
        <f>C339+13</f>
        <v>45814</v>
      </c>
      <c r="E338" s="235">
        <f t="shared" si="31"/>
        <v>45796</v>
      </c>
      <c r="F338" s="235">
        <f t="shared" si="32"/>
        <v>45797</v>
      </c>
      <c r="G338" s="236">
        <v>21</v>
      </c>
    </row>
    <row r="339" spans="1:7" ht="12.75">
      <c r="A339" s="309" t="str">
        <f t="shared" si="35"/>
        <v>May-18-2025 - May-24-2025</v>
      </c>
      <c r="B339" s="234">
        <f aca="true" t="shared" si="37" ref="B339:B353">B338+7</f>
        <v>45795</v>
      </c>
      <c r="C339" s="234">
        <f t="shared" si="34"/>
        <v>45801</v>
      </c>
      <c r="D339" s="235">
        <f>D338</f>
        <v>45814</v>
      </c>
      <c r="E339" s="235">
        <f t="shared" si="31"/>
        <v>45803</v>
      </c>
      <c r="F339" s="235">
        <f t="shared" si="32"/>
        <v>45804</v>
      </c>
      <c r="G339" s="236">
        <v>22</v>
      </c>
    </row>
    <row r="340" spans="1:7" ht="12.75">
      <c r="A340" s="150" t="str">
        <f t="shared" si="35"/>
        <v>May-25-2025 - May-31-2025</v>
      </c>
      <c r="B340" s="41">
        <f t="shared" si="37"/>
        <v>45802</v>
      </c>
      <c r="C340" s="41">
        <f t="shared" si="34"/>
        <v>45808</v>
      </c>
      <c r="D340" s="42">
        <f>C341+13</f>
        <v>45828</v>
      </c>
      <c r="E340" s="42">
        <f t="shared" si="31"/>
        <v>45810</v>
      </c>
      <c r="F340" s="42">
        <f t="shared" si="32"/>
        <v>45811</v>
      </c>
      <c r="G340" s="68">
        <v>23</v>
      </c>
    </row>
    <row r="341" spans="1:7" ht="12.75">
      <c r="A341" s="150" t="str">
        <f t="shared" si="35"/>
        <v>Jun-01-2025 - Jun-07-2025</v>
      </c>
      <c r="B341" s="41">
        <f t="shared" si="37"/>
        <v>45809</v>
      </c>
      <c r="C341" s="41">
        <f t="shared" si="34"/>
        <v>45815</v>
      </c>
      <c r="D341" s="42">
        <f>D340</f>
        <v>45828</v>
      </c>
      <c r="E341" s="42">
        <f t="shared" si="31"/>
        <v>45817</v>
      </c>
      <c r="F341" s="42">
        <f t="shared" si="32"/>
        <v>45818</v>
      </c>
      <c r="G341" s="68">
        <v>24</v>
      </c>
    </row>
    <row r="342" spans="1:7" ht="12.75">
      <c r="A342" s="309" t="str">
        <f t="shared" si="35"/>
        <v>Jun-08-2025 - Jun-14-2025</v>
      </c>
      <c r="B342" s="234">
        <f t="shared" si="37"/>
        <v>45816</v>
      </c>
      <c r="C342" s="234">
        <f t="shared" si="34"/>
        <v>45822</v>
      </c>
      <c r="D342" s="235">
        <f>C343+13</f>
        <v>45842</v>
      </c>
      <c r="E342" s="235">
        <f t="shared" si="31"/>
        <v>45824</v>
      </c>
      <c r="F342" s="235">
        <f t="shared" si="32"/>
        <v>45825</v>
      </c>
      <c r="G342" s="236">
        <v>25</v>
      </c>
    </row>
    <row r="343" spans="1:7" ht="12.75">
      <c r="A343" s="309" t="str">
        <f t="shared" si="35"/>
        <v>Jun-15-2025 - Jun-21-2025</v>
      </c>
      <c r="B343" s="234">
        <f t="shared" si="37"/>
        <v>45823</v>
      </c>
      <c r="C343" s="234">
        <f t="shared" si="34"/>
        <v>45829</v>
      </c>
      <c r="D343" s="235">
        <f>D342</f>
        <v>45842</v>
      </c>
      <c r="E343" s="235">
        <f t="shared" si="31"/>
        <v>45831</v>
      </c>
      <c r="F343" s="235">
        <f t="shared" si="32"/>
        <v>45832</v>
      </c>
      <c r="G343" s="236">
        <v>26</v>
      </c>
    </row>
    <row r="344" spans="1:7" ht="12.75">
      <c r="A344" s="150" t="str">
        <f t="shared" si="35"/>
        <v>Jun-22-2025 - Jun-28-2025</v>
      </c>
      <c r="B344" s="41">
        <f t="shared" si="37"/>
        <v>45830</v>
      </c>
      <c r="C344" s="41">
        <f t="shared" si="34"/>
        <v>45836</v>
      </c>
      <c r="D344" s="42">
        <f>C345+13</f>
        <v>45856</v>
      </c>
      <c r="E344" s="42">
        <f t="shared" si="31"/>
        <v>45838</v>
      </c>
      <c r="F344" s="42">
        <f t="shared" si="32"/>
        <v>45839</v>
      </c>
      <c r="G344" s="68">
        <v>27</v>
      </c>
    </row>
    <row r="345" spans="1:7" ht="12.75">
      <c r="A345" s="150" t="str">
        <f t="shared" si="35"/>
        <v>Jun-29-2025 - Jul-05-2025</v>
      </c>
      <c r="B345" s="41">
        <f t="shared" si="37"/>
        <v>45837</v>
      </c>
      <c r="C345" s="41">
        <f t="shared" si="34"/>
        <v>45843</v>
      </c>
      <c r="D345" s="42">
        <f>D344</f>
        <v>45856</v>
      </c>
      <c r="E345" s="42">
        <f t="shared" si="31"/>
        <v>45845</v>
      </c>
      <c r="F345" s="42">
        <f t="shared" si="32"/>
        <v>45846</v>
      </c>
      <c r="G345" s="68">
        <v>28</v>
      </c>
    </row>
    <row r="346" spans="1:7" ht="12.75">
      <c r="A346" s="309" t="str">
        <f t="shared" si="35"/>
        <v>Jul-06-2025 - Jul-12-2025</v>
      </c>
      <c r="B346" s="234">
        <f t="shared" si="37"/>
        <v>45844</v>
      </c>
      <c r="C346" s="234">
        <f t="shared" si="34"/>
        <v>45850</v>
      </c>
      <c r="D346" s="235">
        <f>C347+13</f>
        <v>45870</v>
      </c>
      <c r="E346" s="235">
        <f t="shared" si="31"/>
        <v>45852</v>
      </c>
      <c r="F346" s="235">
        <f t="shared" si="32"/>
        <v>45853</v>
      </c>
      <c r="G346" s="236">
        <v>29</v>
      </c>
    </row>
    <row r="347" spans="1:7" ht="12.75">
      <c r="A347" s="309" t="str">
        <f t="shared" si="35"/>
        <v>Jul-13-2025 - Jul-19-2025</v>
      </c>
      <c r="B347" s="234">
        <f t="shared" si="37"/>
        <v>45851</v>
      </c>
      <c r="C347" s="234">
        <f t="shared" si="34"/>
        <v>45857</v>
      </c>
      <c r="D347" s="235">
        <f>D346</f>
        <v>45870</v>
      </c>
      <c r="E347" s="235">
        <f t="shared" si="31"/>
        <v>45859</v>
      </c>
      <c r="F347" s="235">
        <f t="shared" si="32"/>
        <v>45860</v>
      </c>
      <c r="G347" s="236">
        <v>30</v>
      </c>
    </row>
    <row r="348" spans="1:7" ht="12.75">
      <c r="A348" s="150" t="str">
        <f t="shared" si="35"/>
        <v>Jul-20-2025 - Jul-26-2025</v>
      </c>
      <c r="B348" s="41">
        <f t="shared" si="37"/>
        <v>45858</v>
      </c>
      <c r="C348" s="41">
        <f t="shared" si="34"/>
        <v>45864</v>
      </c>
      <c r="D348" s="42">
        <f>C349+13</f>
        <v>45884</v>
      </c>
      <c r="E348" s="42">
        <f t="shared" si="31"/>
        <v>45866</v>
      </c>
      <c r="F348" s="42">
        <f t="shared" si="32"/>
        <v>45867</v>
      </c>
      <c r="G348" s="68">
        <v>31</v>
      </c>
    </row>
    <row r="349" spans="1:7" ht="12.75">
      <c r="A349" s="150" t="str">
        <f t="shared" si="35"/>
        <v>Jul-27-2025 - Aug-02-2025</v>
      </c>
      <c r="B349" s="41">
        <f t="shared" si="37"/>
        <v>45865</v>
      </c>
      <c r="C349" s="41">
        <f t="shared" si="34"/>
        <v>45871</v>
      </c>
      <c r="D349" s="42">
        <f>D348</f>
        <v>45884</v>
      </c>
      <c r="E349" s="42">
        <f t="shared" si="31"/>
        <v>45873</v>
      </c>
      <c r="F349" s="42">
        <f t="shared" si="32"/>
        <v>45874</v>
      </c>
      <c r="G349" s="68">
        <v>32</v>
      </c>
    </row>
    <row r="350" spans="1:7" ht="12.75">
      <c r="A350" s="309" t="str">
        <f t="shared" si="35"/>
        <v>Aug-03-2025 - Aug-09-2025</v>
      </c>
      <c r="B350" s="234">
        <f t="shared" si="37"/>
        <v>45872</v>
      </c>
      <c r="C350" s="234">
        <f t="shared" si="34"/>
        <v>45878</v>
      </c>
      <c r="D350" s="235">
        <f>C351+13</f>
        <v>45898</v>
      </c>
      <c r="E350" s="235">
        <f t="shared" si="31"/>
        <v>45880</v>
      </c>
      <c r="F350" s="235">
        <f t="shared" si="32"/>
        <v>45881</v>
      </c>
      <c r="G350" s="236">
        <v>33</v>
      </c>
    </row>
    <row r="351" spans="1:7" ht="12.75">
      <c r="A351" s="309" t="str">
        <f t="shared" si="35"/>
        <v>Aug-10-2025 - Aug-16-2025</v>
      </c>
      <c r="B351" s="234">
        <f t="shared" si="37"/>
        <v>45879</v>
      </c>
      <c r="C351" s="234">
        <f t="shared" si="34"/>
        <v>45885</v>
      </c>
      <c r="D351" s="235">
        <f>D350</f>
        <v>45898</v>
      </c>
      <c r="E351" s="235">
        <f t="shared" si="31"/>
        <v>45887</v>
      </c>
      <c r="F351" s="235">
        <f t="shared" si="32"/>
        <v>45888</v>
      </c>
      <c r="G351" s="236">
        <v>34</v>
      </c>
    </row>
    <row r="352" spans="1:7" ht="12.75">
      <c r="A352" s="150" t="str">
        <f t="shared" si="35"/>
        <v>Aug-17-2025 - Aug-23-2025</v>
      </c>
      <c r="B352" s="41">
        <f t="shared" si="37"/>
        <v>45886</v>
      </c>
      <c r="C352" s="41">
        <f t="shared" si="34"/>
        <v>45892</v>
      </c>
      <c r="D352" s="42">
        <f>C353+13</f>
        <v>45912</v>
      </c>
      <c r="E352" s="42">
        <f t="shared" si="31"/>
        <v>45894</v>
      </c>
      <c r="F352" s="42">
        <f t="shared" si="32"/>
        <v>45895</v>
      </c>
      <c r="G352" s="68">
        <v>35</v>
      </c>
    </row>
    <row r="353" spans="1:7" ht="12.75">
      <c r="A353" s="150" t="str">
        <f t="shared" si="35"/>
        <v>Aug-24-2025 - Aug-30-2025</v>
      </c>
      <c r="B353" s="41">
        <f t="shared" si="37"/>
        <v>45893</v>
      </c>
      <c r="C353" s="41">
        <f t="shared" si="34"/>
        <v>45899</v>
      </c>
      <c r="D353" s="42">
        <f>D352</f>
        <v>45912</v>
      </c>
      <c r="E353" s="42">
        <f t="shared" si="31"/>
        <v>45901</v>
      </c>
      <c r="F353" s="42">
        <f t="shared" si="32"/>
        <v>45902</v>
      </c>
      <c r="G353" s="68">
        <v>36</v>
      </c>
    </row>
    <row r="354" spans="1:7" ht="12.75">
      <c r="A354" s="309" t="str">
        <f t="shared" si="35"/>
        <v>Aug-31-2025 - Sep-06-2025</v>
      </c>
      <c r="B354" s="234">
        <f>B353+7</f>
        <v>45900</v>
      </c>
      <c r="C354" s="234">
        <f t="shared" si="34"/>
        <v>45906</v>
      </c>
      <c r="D354" s="235">
        <f>C355+13</f>
        <v>45926</v>
      </c>
      <c r="E354" s="235">
        <f aca="true" t="shared" si="38" ref="E354:E371">C354+2</f>
        <v>45908</v>
      </c>
      <c r="F354" s="235">
        <f t="shared" si="32"/>
        <v>45909</v>
      </c>
      <c r="G354" s="236">
        <v>37</v>
      </c>
    </row>
    <row r="355" spans="1:7" ht="12.75">
      <c r="A355" s="309" t="str">
        <f t="shared" si="35"/>
        <v>Sep-07-2025 - Sep-13-2025</v>
      </c>
      <c r="B355" s="234">
        <f>B354+7</f>
        <v>45907</v>
      </c>
      <c r="C355" s="234">
        <f t="shared" si="34"/>
        <v>45913</v>
      </c>
      <c r="D355" s="235">
        <f>D354</f>
        <v>45926</v>
      </c>
      <c r="E355" s="235">
        <f t="shared" si="38"/>
        <v>45915</v>
      </c>
      <c r="F355" s="235">
        <f aca="true" t="shared" si="39" ref="F355:F371">E355+1</f>
        <v>45916</v>
      </c>
      <c r="G355" s="236">
        <v>38</v>
      </c>
    </row>
    <row r="356" spans="1:7" ht="12.75">
      <c r="A356" s="150" t="str">
        <f t="shared" si="35"/>
        <v>Sep-14-2025 - Sep-20-2025</v>
      </c>
      <c r="B356" s="41">
        <f aca="true" t="shared" si="40" ref="B356:B419">B355+7</f>
        <v>45914</v>
      </c>
      <c r="C356" s="41">
        <f t="shared" si="34"/>
        <v>45920</v>
      </c>
      <c r="D356" s="42">
        <f>C357+13</f>
        <v>45940</v>
      </c>
      <c r="E356" s="42">
        <f t="shared" si="38"/>
        <v>45922</v>
      </c>
      <c r="F356" s="42">
        <f t="shared" si="39"/>
        <v>45923</v>
      </c>
      <c r="G356" s="68">
        <v>39</v>
      </c>
    </row>
    <row r="357" spans="1:7" ht="12.75">
      <c r="A357" s="150" t="str">
        <f t="shared" si="35"/>
        <v>Sep-21-2025 - Sep-27-2025</v>
      </c>
      <c r="B357" s="41">
        <f t="shared" si="40"/>
        <v>45921</v>
      </c>
      <c r="C357" s="41">
        <f t="shared" si="34"/>
        <v>45927</v>
      </c>
      <c r="D357" s="42">
        <f>D356</f>
        <v>45940</v>
      </c>
      <c r="E357" s="42">
        <f t="shared" si="38"/>
        <v>45929</v>
      </c>
      <c r="F357" s="42">
        <f t="shared" si="39"/>
        <v>45930</v>
      </c>
      <c r="G357" s="68">
        <v>40</v>
      </c>
    </row>
    <row r="358" spans="1:7" ht="12.75">
      <c r="A358" s="309" t="str">
        <f t="shared" si="35"/>
        <v>Sep-28-2025 - Oct-04-2025</v>
      </c>
      <c r="B358" s="234">
        <f t="shared" si="40"/>
        <v>45928</v>
      </c>
      <c r="C358" s="234">
        <f t="shared" si="34"/>
        <v>45934</v>
      </c>
      <c r="D358" s="235">
        <f>C359+13</f>
        <v>45954</v>
      </c>
      <c r="E358" s="235">
        <f t="shared" si="38"/>
        <v>45936</v>
      </c>
      <c r="F358" s="235">
        <f t="shared" si="39"/>
        <v>45937</v>
      </c>
      <c r="G358" s="236">
        <v>41</v>
      </c>
    </row>
    <row r="359" spans="1:7" ht="12.75">
      <c r="A359" s="309" t="str">
        <f t="shared" si="35"/>
        <v>Oct-05-2025 - Oct-11-2025</v>
      </c>
      <c r="B359" s="234">
        <f t="shared" si="40"/>
        <v>45935</v>
      </c>
      <c r="C359" s="234">
        <f t="shared" si="34"/>
        <v>45941</v>
      </c>
      <c r="D359" s="235">
        <f>D358</f>
        <v>45954</v>
      </c>
      <c r="E359" s="235">
        <f t="shared" si="38"/>
        <v>45943</v>
      </c>
      <c r="F359" s="235">
        <f t="shared" si="39"/>
        <v>45944</v>
      </c>
      <c r="G359" s="236">
        <v>42</v>
      </c>
    </row>
    <row r="360" spans="1:7" ht="12.75">
      <c r="A360" s="150" t="str">
        <f t="shared" si="35"/>
        <v>Oct-12-2025 - Oct-18-2025</v>
      </c>
      <c r="B360" s="41">
        <f t="shared" si="40"/>
        <v>45942</v>
      </c>
      <c r="C360" s="41">
        <f t="shared" si="34"/>
        <v>45948</v>
      </c>
      <c r="D360" s="42">
        <f>C361+13</f>
        <v>45968</v>
      </c>
      <c r="E360" s="42">
        <f t="shared" si="38"/>
        <v>45950</v>
      </c>
      <c r="F360" s="42">
        <f t="shared" si="39"/>
        <v>45951</v>
      </c>
      <c r="G360" s="68">
        <v>43</v>
      </c>
    </row>
    <row r="361" spans="1:7" ht="12.75">
      <c r="A361" s="150" t="str">
        <f t="shared" si="35"/>
        <v>Oct-19-2025 - Oct-25-2025</v>
      </c>
      <c r="B361" s="41">
        <f t="shared" si="40"/>
        <v>45949</v>
      </c>
      <c r="C361" s="41">
        <f t="shared" si="34"/>
        <v>45955</v>
      </c>
      <c r="D361" s="42">
        <f>D360</f>
        <v>45968</v>
      </c>
      <c r="E361" s="42">
        <f t="shared" si="38"/>
        <v>45957</v>
      </c>
      <c r="F361" s="42">
        <f t="shared" si="39"/>
        <v>45958</v>
      </c>
      <c r="G361" s="68">
        <v>44</v>
      </c>
    </row>
    <row r="362" spans="1:7" ht="12.75">
      <c r="A362" s="309" t="str">
        <f t="shared" si="35"/>
        <v>Oct-26-2025 - Nov-01-2025</v>
      </c>
      <c r="B362" s="234">
        <f t="shared" si="40"/>
        <v>45956</v>
      </c>
      <c r="C362" s="234">
        <f t="shared" si="34"/>
        <v>45962</v>
      </c>
      <c r="D362" s="235">
        <f>C363+13</f>
        <v>45982</v>
      </c>
      <c r="E362" s="235">
        <f t="shared" si="38"/>
        <v>45964</v>
      </c>
      <c r="F362" s="235">
        <f t="shared" si="39"/>
        <v>45965</v>
      </c>
      <c r="G362" s="236">
        <v>45</v>
      </c>
    </row>
    <row r="363" spans="1:7" ht="12.75">
      <c r="A363" s="309" t="str">
        <f t="shared" si="35"/>
        <v>Nov-02-2025 - Nov-08-2025</v>
      </c>
      <c r="B363" s="234">
        <f t="shared" si="40"/>
        <v>45963</v>
      </c>
      <c r="C363" s="234">
        <f aca="true" t="shared" si="41" ref="C363:C371">B363+6</f>
        <v>45969</v>
      </c>
      <c r="D363" s="235">
        <f>D362</f>
        <v>45982</v>
      </c>
      <c r="E363" s="235">
        <f t="shared" si="38"/>
        <v>45971</v>
      </c>
      <c r="F363" s="235">
        <f t="shared" si="39"/>
        <v>45972</v>
      </c>
      <c r="G363" s="236">
        <v>46</v>
      </c>
    </row>
    <row r="364" spans="1:7" ht="12.75">
      <c r="A364" s="150" t="str">
        <f t="shared" si="35"/>
        <v>Nov-09-2025 - Nov-15-2025</v>
      </c>
      <c r="B364" s="41">
        <f t="shared" si="40"/>
        <v>45970</v>
      </c>
      <c r="C364" s="41">
        <f t="shared" si="41"/>
        <v>45976</v>
      </c>
      <c r="D364" s="42">
        <f>C365+13</f>
        <v>45996</v>
      </c>
      <c r="E364" s="42">
        <f t="shared" si="38"/>
        <v>45978</v>
      </c>
      <c r="F364" s="42">
        <f t="shared" si="39"/>
        <v>45979</v>
      </c>
      <c r="G364" s="68">
        <v>47</v>
      </c>
    </row>
    <row r="365" spans="1:7" ht="12.75">
      <c r="A365" s="150" t="str">
        <f aca="true" t="shared" si="42" ref="A365:A371">CONCATENATE(TEXT(B365,"mmm-dd-yyyy")," - ",(TEXT(C365,"mmm-dd-yyyy")))</f>
        <v>Nov-16-2025 - Nov-22-2025</v>
      </c>
      <c r="B365" s="41">
        <f t="shared" si="40"/>
        <v>45977</v>
      </c>
      <c r="C365" s="41">
        <f t="shared" si="41"/>
        <v>45983</v>
      </c>
      <c r="D365" s="42">
        <f>D364</f>
        <v>45996</v>
      </c>
      <c r="E365" s="42">
        <f t="shared" si="38"/>
        <v>45985</v>
      </c>
      <c r="F365" s="42">
        <f t="shared" si="39"/>
        <v>45986</v>
      </c>
      <c r="G365" s="68">
        <v>48</v>
      </c>
    </row>
    <row r="366" spans="1:7" ht="12.75">
      <c r="A366" s="309" t="str">
        <f t="shared" si="42"/>
        <v>Nov-23-2025 - Nov-29-2025</v>
      </c>
      <c r="B366" s="234">
        <f t="shared" si="40"/>
        <v>45984</v>
      </c>
      <c r="C366" s="234">
        <f t="shared" si="41"/>
        <v>45990</v>
      </c>
      <c r="D366" s="235">
        <f>C367+13</f>
        <v>46010</v>
      </c>
      <c r="E366" s="235">
        <f t="shared" si="38"/>
        <v>45992</v>
      </c>
      <c r="F366" s="235">
        <f t="shared" si="39"/>
        <v>45993</v>
      </c>
      <c r="G366" s="236">
        <v>49</v>
      </c>
    </row>
    <row r="367" spans="1:7" ht="12.75">
      <c r="A367" s="309" t="str">
        <f t="shared" si="42"/>
        <v>Nov-30-2025 - Dec-06-2025</v>
      </c>
      <c r="B367" s="234">
        <f t="shared" si="40"/>
        <v>45991</v>
      </c>
      <c r="C367" s="234">
        <f t="shared" si="41"/>
        <v>45997</v>
      </c>
      <c r="D367" s="235">
        <f>D366</f>
        <v>46010</v>
      </c>
      <c r="E367" s="235">
        <f t="shared" si="38"/>
        <v>45999</v>
      </c>
      <c r="F367" s="235">
        <f t="shared" si="39"/>
        <v>46000</v>
      </c>
      <c r="G367" s="236">
        <v>50</v>
      </c>
    </row>
    <row r="368" spans="1:7" ht="12.75">
      <c r="A368" s="150" t="str">
        <f t="shared" si="42"/>
        <v>Dec-07-2025 - Dec-13-2025</v>
      </c>
      <c r="B368" s="41">
        <f t="shared" si="40"/>
        <v>45998</v>
      </c>
      <c r="C368" s="41">
        <f t="shared" si="41"/>
        <v>46004</v>
      </c>
      <c r="D368" s="42">
        <f>C369+13</f>
        <v>46024</v>
      </c>
      <c r="E368" s="42">
        <f t="shared" si="38"/>
        <v>46006</v>
      </c>
      <c r="F368" s="42">
        <f t="shared" si="39"/>
        <v>46007</v>
      </c>
      <c r="G368" s="68">
        <v>51</v>
      </c>
    </row>
    <row r="369" spans="1:7" ht="12.75">
      <c r="A369" s="150" t="str">
        <f t="shared" si="42"/>
        <v>Dec-14-2025 - Dec-20-2025</v>
      </c>
      <c r="B369" s="41">
        <f t="shared" si="40"/>
        <v>46005</v>
      </c>
      <c r="C369" s="41">
        <f t="shared" si="41"/>
        <v>46011</v>
      </c>
      <c r="D369" s="42">
        <f>D368</f>
        <v>46024</v>
      </c>
      <c r="E369" s="42">
        <f t="shared" si="38"/>
        <v>46013</v>
      </c>
      <c r="F369" s="42">
        <f t="shared" si="39"/>
        <v>46014</v>
      </c>
      <c r="G369" s="68">
        <v>52</v>
      </c>
    </row>
    <row r="370" spans="1:7" ht="12.75">
      <c r="A370" s="309" t="str">
        <f t="shared" si="42"/>
        <v>Dec-21-2025 - Dec-27-2025</v>
      </c>
      <c r="B370" s="234">
        <f t="shared" si="40"/>
        <v>46012</v>
      </c>
      <c r="C370" s="234">
        <f t="shared" si="41"/>
        <v>46018</v>
      </c>
      <c r="D370" s="235">
        <f>C371+13</f>
        <v>46038</v>
      </c>
      <c r="E370" s="235">
        <f t="shared" si="38"/>
        <v>46020</v>
      </c>
      <c r="F370" s="235">
        <f t="shared" si="39"/>
        <v>46021</v>
      </c>
      <c r="G370" s="236">
        <v>1</v>
      </c>
    </row>
    <row r="371" spans="1:7" ht="12.75">
      <c r="A371" s="309" t="str">
        <f t="shared" si="42"/>
        <v>Dec-28-2025 - Jan-03-2026</v>
      </c>
      <c r="B371" s="234">
        <f t="shared" si="40"/>
        <v>46019</v>
      </c>
      <c r="C371" s="234">
        <f t="shared" si="41"/>
        <v>46025</v>
      </c>
      <c r="D371" s="235">
        <f>D370</f>
        <v>46038</v>
      </c>
      <c r="E371" s="235">
        <f t="shared" si="38"/>
        <v>46027</v>
      </c>
      <c r="F371" s="235">
        <f t="shared" si="39"/>
        <v>46028</v>
      </c>
      <c r="G371" s="236">
        <v>2</v>
      </c>
    </row>
    <row r="372" spans="1:7" ht="12.75">
      <c r="A372" s="150" t="str">
        <f aca="true" t="shared" si="43" ref="A372:A381">CONCATENATE(TEXT(B372,"mmm-dd-yyyy")," - ",(TEXT(C372,"mmm-dd-yyyy")))</f>
        <v>Jan-04-2026 - Jan-10-2026</v>
      </c>
      <c r="B372" s="41">
        <f t="shared" si="40"/>
        <v>46026</v>
      </c>
      <c r="C372" s="41">
        <f aca="true" t="shared" si="44" ref="C372:C381">B372+6</f>
        <v>46032</v>
      </c>
      <c r="D372" s="42">
        <f aca="true" t="shared" si="45" ref="D372:D381">D371</f>
        <v>46038</v>
      </c>
      <c r="E372" s="42">
        <f aca="true" t="shared" si="46" ref="E372:E381">C372+2</f>
        <v>46034</v>
      </c>
      <c r="F372" s="42">
        <f aca="true" t="shared" si="47" ref="F372:F381">E372+1</f>
        <v>46035</v>
      </c>
      <c r="G372" s="68">
        <v>3</v>
      </c>
    </row>
    <row r="373" spans="1:7" ht="12.75">
      <c r="A373" s="150" t="str">
        <f t="shared" si="43"/>
        <v>Jan-11-2026 - Jan-17-2026</v>
      </c>
      <c r="B373" s="41">
        <f t="shared" si="40"/>
        <v>46033</v>
      </c>
      <c r="C373" s="41">
        <f t="shared" si="44"/>
        <v>46039</v>
      </c>
      <c r="D373" s="42">
        <f t="shared" si="45"/>
        <v>46038</v>
      </c>
      <c r="E373" s="42">
        <f t="shared" si="46"/>
        <v>46041</v>
      </c>
      <c r="F373" s="42">
        <f t="shared" si="47"/>
        <v>46042</v>
      </c>
      <c r="G373" s="68">
        <v>4</v>
      </c>
    </row>
    <row r="374" spans="1:7" ht="12.75">
      <c r="A374" s="309" t="str">
        <f t="shared" si="43"/>
        <v>Jan-18-2026 - Jan-24-2026</v>
      </c>
      <c r="B374" s="234">
        <f t="shared" si="40"/>
        <v>46040</v>
      </c>
      <c r="C374" s="234">
        <f t="shared" si="44"/>
        <v>46046</v>
      </c>
      <c r="D374" s="235">
        <f t="shared" si="45"/>
        <v>46038</v>
      </c>
      <c r="E374" s="235">
        <f t="shared" si="46"/>
        <v>46048</v>
      </c>
      <c r="F374" s="235">
        <f t="shared" si="47"/>
        <v>46049</v>
      </c>
      <c r="G374" s="236">
        <v>5</v>
      </c>
    </row>
    <row r="375" spans="1:7" ht="12.75">
      <c r="A375" s="309" t="str">
        <f t="shared" si="43"/>
        <v>Jan-25-2026 - Jan-31-2026</v>
      </c>
      <c r="B375" s="234">
        <f t="shared" si="40"/>
        <v>46047</v>
      </c>
      <c r="C375" s="234">
        <f t="shared" si="44"/>
        <v>46053</v>
      </c>
      <c r="D375" s="235">
        <f t="shared" si="45"/>
        <v>46038</v>
      </c>
      <c r="E375" s="235">
        <f t="shared" si="46"/>
        <v>46055</v>
      </c>
      <c r="F375" s="235">
        <f t="shared" si="47"/>
        <v>46056</v>
      </c>
      <c r="G375" s="236">
        <v>6</v>
      </c>
    </row>
    <row r="376" spans="1:7" ht="12.75">
      <c r="A376" s="150" t="str">
        <f t="shared" si="43"/>
        <v>Feb-01-2026 - Feb-07-2026</v>
      </c>
      <c r="B376" s="41">
        <f t="shared" si="40"/>
        <v>46054</v>
      </c>
      <c r="C376" s="41">
        <f t="shared" si="44"/>
        <v>46060</v>
      </c>
      <c r="D376" s="42">
        <f t="shared" si="45"/>
        <v>46038</v>
      </c>
      <c r="E376" s="42">
        <f t="shared" si="46"/>
        <v>46062</v>
      </c>
      <c r="F376" s="42">
        <f t="shared" si="47"/>
        <v>46063</v>
      </c>
      <c r="G376" s="68">
        <v>7</v>
      </c>
    </row>
    <row r="377" spans="1:7" ht="12.75">
      <c r="A377" s="150" t="str">
        <f t="shared" si="43"/>
        <v>Feb-08-2026 - Feb-14-2026</v>
      </c>
      <c r="B377" s="41">
        <f t="shared" si="40"/>
        <v>46061</v>
      </c>
      <c r="C377" s="41">
        <f t="shared" si="44"/>
        <v>46067</v>
      </c>
      <c r="D377" s="42">
        <f t="shared" si="45"/>
        <v>46038</v>
      </c>
      <c r="E377" s="42">
        <f t="shared" si="46"/>
        <v>46069</v>
      </c>
      <c r="F377" s="42">
        <f t="shared" si="47"/>
        <v>46070</v>
      </c>
      <c r="G377" s="68">
        <v>8</v>
      </c>
    </row>
    <row r="378" spans="1:7" ht="12.75">
      <c r="A378" s="309" t="str">
        <f t="shared" si="43"/>
        <v>Feb-15-2026 - Feb-21-2026</v>
      </c>
      <c r="B378" s="234">
        <f t="shared" si="40"/>
        <v>46068</v>
      </c>
      <c r="C378" s="234">
        <f t="shared" si="44"/>
        <v>46074</v>
      </c>
      <c r="D378" s="235">
        <f t="shared" si="45"/>
        <v>46038</v>
      </c>
      <c r="E378" s="235">
        <f t="shared" si="46"/>
        <v>46076</v>
      </c>
      <c r="F378" s="235">
        <f t="shared" si="47"/>
        <v>46077</v>
      </c>
      <c r="G378" s="236">
        <v>9</v>
      </c>
    </row>
    <row r="379" spans="1:7" ht="12.75">
      <c r="A379" s="309" t="str">
        <f t="shared" si="43"/>
        <v>Feb-22-2026 - Feb-28-2026</v>
      </c>
      <c r="B379" s="234">
        <f t="shared" si="40"/>
        <v>46075</v>
      </c>
      <c r="C379" s="234">
        <f t="shared" si="44"/>
        <v>46081</v>
      </c>
      <c r="D379" s="235">
        <f t="shared" si="45"/>
        <v>46038</v>
      </c>
      <c r="E379" s="235">
        <f t="shared" si="46"/>
        <v>46083</v>
      </c>
      <c r="F379" s="235">
        <f t="shared" si="47"/>
        <v>46084</v>
      </c>
      <c r="G379" s="236">
        <v>10</v>
      </c>
    </row>
    <row r="380" spans="1:7" ht="12.75">
      <c r="A380" s="150" t="str">
        <f t="shared" si="43"/>
        <v>Mar-01-2026 - Mar-07-2026</v>
      </c>
      <c r="B380" s="41">
        <f t="shared" si="40"/>
        <v>46082</v>
      </c>
      <c r="C380" s="41">
        <f t="shared" si="44"/>
        <v>46088</v>
      </c>
      <c r="D380" s="42">
        <f t="shared" si="45"/>
        <v>46038</v>
      </c>
      <c r="E380" s="42">
        <f t="shared" si="46"/>
        <v>46090</v>
      </c>
      <c r="F380" s="42">
        <f t="shared" si="47"/>
        <v>46091</v>
      </c>
      <c r="G380" s="68">
        <v>11</v>
      </c>
    </row>
    <row r="381" spans="1:7" ht="12.75">
      <c r="A381" s="150" t="str">
        <f t="shared" si="43"/>
        <v>Mar-08-2026 - Mar-14-2026</v>
      </c>
      <c r="B381" s="41">
        <f t="shared" si="40"/>
        <v>46089</v>
      </c>
      <c r="C381" s="41">
        <f t="shared" si="44"/>
        <v>46095</v>
      </c>
      <c r="D381" s="42">
        <f t="shared" si="45"/>
        <v>46038</v>
      </c>
      <c r="E381" s="42">
        <f t="shared" si="46"/>
        <v>46097</v>
      </c>
      <c r="F381" s="42">
        <f t="shared" si="47"/>
        <v>46098</v>
      </c>
      <c r="G381" s="68">
        <v>12</v>
      </c>
    </row>
    <row r="382" spans="1:7" ht="12.75">
      <c r="A382" s="309" t="str">
        <f aca="true" t="shared" si="48" ref="A382:A421">CONCATENATE(TEXT(B382,"mmm-dd-yyyy")," - ",(TEXT(C382,"mmm-dd-yyyy")))</f>
        <v>Mar-15-2026 - Mar-21-2026</v>
      </c>
      <c r="B382" s="234">
        <f t="shared" si="40"/>
        <v>46096</v>
      </c>
      <c r="C382" s="234">
        <f aca="true" t="shared" si="49" ref="C382:C421">B382+6</f>
        <v>46102</v>
      </c>
      <c r="D382" s="235">
        <f aca="true" t="shared" si="50" ref="D382:D421">D381</f>
        <v>46038</v>
      </c>
      <c r="E382" s="235">
        <f aca="true" t="shared" si="51" ref="E382:E421">C382+2</f>
        <v>46104</v>
      </c>
      <c r="F382" s="235">
        <f aca="true" t="shared" si="52" ref="F382:F421">E382+1</f>
        <v>46105</v>
      </c>
      <c r="G382" s="236">
        <v>13</v>
      </c>
    </row>
    <row r="383" spans="1:7" ht="12.75">
      <c r="A383" s="309" t="str">
        <f t="shared" si="48"/>
        <v>Mar-22-2026 - Mar-28-2026</v>
      </c>
      <c r="B383" s="234">
        <f t="shared" si="40"/>
        <v>46103</v>
      </c>
      <c r="C383" s="234">
        <f t="shared" si="49"/>
        <v>46109</v>
      </c>
      <c r="D383" s="235">
        <f t="shared" si="50"/>
        <v>46038</v>
      </c>
      <c r="E383" s="235">
        <f t="shared" si="51"/>
        <v>46111</v>
      </c>
      <c r="F383" s="235">
        <f t="shared" si="52"/>
        <v>46112</v>
      </c>
      <c r="G383" s="236">
        <v>14</v>
      </c>
    </row>
    <row r="384" spans="1:7" ht="12.75">
      <c r="A384" s="150" t="str">
        <f t="shared" si="48"/>
        <v>Mar-29-2026 - Apr-04-2026</v>
      </c>
      <c r="B384" s="41">
        <f t="shared" si="40"/>
        <v>46110</v>
      </c>
      <c r="C384" s="41">
        <f t="shared" si="49"/>
        <v>46116</v>
      </c>
      <c r="D384" s="42">
        <f t="shared" si="50"/>
        <v>46038</v>
      </c>
      <c r="E384" s="42">
        <f t="shared" si="51"/>
        <v>46118</v>
      </c>
      <c r="F384" s="42">
        <f t="shared" si="52"/>
        <v>46119</v>
      </c>
      <c r="G384" s="68">
        <v>15</v>
      </c>
    </row>
    <row r="385" spans="1:7" ht="12.75">
      <c r="A385" s="150" t="str">
        <f t="shared" si="48"/>
        <v>Apr-05-2026 - Apr-11-2026</v>
      </c>
      <c r="B385" s="41">
        <f t="shared" si="40"/>
        <v>46117</v>
      </c>
      <c r="C385" s="41">
        <f t="shared" si="49"/>
        <v>46123</v>
      </c>
      <c r="D385" s="42">
        <f t="shared" si="50"/>
        <v>46038</v>
      </c>
      <c r="E385" s="42">
        <f t="shared" si="51"/>
        <v>46125</v>
      </c>
      <c r="F385" s="42">
        <f t="shared" si="52"/>
        <v>46126</v>
      </c>
      <c r="G385" s="68">
        <v>16</v>
      </c>
    </row>
    <row r="386" spans="1:7" ht="12.75">
      <c r="A386" s="309" t="str">
        <f t="shared" si="48"/>
        <v>Apr-12-2026 - Apr-18-2026</v>
      </c>
      <c r="B386" s="234">
        <f t="shared" si="40"/>
        <v>46124</v>
      </c>
      <c r="C386" s="234">
        <f t="shared" si="49"/>
        <v>46130</v>
      </c>
      <c r="D386" s="235">
        <f t="shared" si="50"/>
        <v>46038</v>
      </c>
      <c r="E386" s="235">
        <f t="shared" si="51"/>
        <v>46132</v>
      </c>
      <c r="F386" s="235">
        <f t="shared" si="52"/>
        <v>46133</v>
      </c>
      <c r="G386" s="236">
        <v>17</v>
      </c>
    </row>
    <row r="387" spans="1:7" ht="12.75">
      <c r="A387" s="309" t="str">
        <f t="shared" si="48"/>
        <v>Apr-19-2026 - Apr-25-2026</v>
      </c>
      <c r="B387" s="234">
        <f t="shared" si="40"/>
        <v>46131</v>
      </c>
      <c r="C387" s="234">
        <f t="shared" si="49"/>
        <v>46137</v>
      </c>
      <c r="D387" s="235">
        <f t="shared" si="50"/>
        <v>46038</v>
      </c>
      <c r="E387" s="235">
        <f t="shared" si="51"/>
        <v>46139</v>
      </c>
      <c r="F387" s="235">
        <f t="shared" si="52"/>
        <v>46140</v>
      </c>
      <c r="G387" s="236">
        <v>18</v>
      </c>
    </row>
    <row r="388" spans="1:7" ht="12.75">
      <c r="A388" s="150" t="str">
        <f t="shared" si="48"/>
        <v>Apr-26-2026 - May-02-2026</v>
      </c>
      <c r="B388" s="41">
        <f t="shared" si="40"/>
        <v>46138</v>
      </c>
      <c r="C388" s="41">
        <f t="shared" si="49"/>
        <v>46144</v>
      </c>
      <c r="D388" s="42">
        <f t="shared" si="50"/>
        <v>46038</v>
      </c>
      <c r="E388" s="42">
        <f t="shared" si="51"/>
        <v>46146</v>
      </c>
      <c r="F388" s="42">
        <f t="shared" si="52"/>
        <v>46147</v>
      </c>
      <c r="G388" s="68">
        <v>19</v>
      </c>
    </row>
    <row r="389" spans="1:7" ht="12.75">
      <c r="A389" s="150" t="str">
        <f t="shared" si="48"/>
        <v>May-03-2026 - May-09-2026</v>
      </c>
      <c r="B389" s="41">
        <f t="shared" si="40"/>
        <v>46145</v>
      </c>
      <c r="C389" s="41">
        <f t="shared" si="49"/>
        <v>46151</v>
      </c>
      <c r="D389" s="42">
        <f t="shared" si="50"/>
        <v>46038</v>
      </c>
      <c r="E389" s="42">
        <f t="shared" si="51"/>
        <v>46153</v>
      </c>
      <c r="F389" s="42">
        <f t="shared" si="52"/>
        <v>46154</v>
      </c>
      <c r="G389" s="68">
        <v>20</v>
      </c>
    </row>
    <row r="390" spans="1:7" ht="12.75">
      <c r="A390" s="309" t="str">
        <f t="shared" si="48"/>
        <v>May-10-2026 - May-16-2026</v>
      </c>
      <c r="B390" s="234">
        <f t="shared" si="40"/>
        <v>46152</v>
      </c>
      <c r="C390" s="234">
        <f t="shared" si="49"/>
        <v>46158</v>
      </c>
      <c r="D390" s="235">
        <f t="shared" si="50"/>
        <v>46038</v>
      </c>
      <c r="E390" s="235">
        <f t="shared" si="51"/>
        <v>46160</v>
      </c>
      <c r="F390" s="235">
        <f t="shared" si="52"/>
        <v>46161</v>
      </c>
      <c r="G390" s="236">
        <v>21</v>
      </c>
    </row>
    <row r="391" spans="1:7" ht="12.75">
      <c r="A391" s="309" t="str">
        <f t="shared" si="48"/>
        <v>May-17-2026 - May-23-2026</v>
      </c>
      <c r="B391" s="234">
        <f t="shared" si="40"/>
        <v>46159</v>
      </c>
      <c r="C391" s="234">
        <f t="shared" si="49"/>
        <v>46165</v>
      </c>
      <c r="D391" s="235">
        <f t="shared" si="50"/>
        <v>46038</v>
      </c>
      <c r="E391" s="235">
        <f t="shared" si="51"/>
        <v>46167</v>
      </c>
      <c r="F391" s="235">
        <f t="shared" si="52"/>
        <v>46168</v>
      </c>
      <c r="G391" s="236">
        <v>22</v>
      </c>
    </row>
    <row r="392" spans="1:7" ht="12.75">
      <c r="A392" s="150" t="str">
        <f t="shared" si="48"/>
        <v>May-24-2026 - May-30-2026</v>
      </c>
      <c r="B392" s="41">
        <f t="shared" si="40"/>
        <v>46166</v>
      </c>
      <c r="C392" s="41">
        <f t="shared" si="49"/>
        <v>46172</v>
      </c>
      <c r="D392" s="42">
        <f t="shared" si="50"/>
        <v>46038</v>
      </c>
      <c r="E392" s="42">
        <f t="shared" si="51"/>
        <v>46174</v>
      </c>
      <c r="F392" s="42">
        <f t="shared" si="52"/>
        <v>46175</v>
      </c>
      <c r="G392" s="68">
        <v>23</v>
      </c>
    </row>
    <row r="393" spans="1:7" ht="12.75">
      <c r="A393" s="150" t="str">
        <f t="shared" si="48"/>
        <v>May-31-2026 - Jun-06-2026</v>
      </c>
      <c r="B393" s="41">
        <f t="shared" si="40"/>
        <v>46173</v>
      </c>
      <c r="C393" s="41">
        <f t="shared" si="49"/>
        <v>46179</v>
      </c>
      <c r="D393" s="42">
        <f t="shared" si="50"/>
        <v>46038</v>
      </c>
      <c r="E393" s="42">
        <f t="shared" si="51"/>
        <v>46181</v>
      </c>
      <c r="F393" s="42">
        <f t="shared" si="52"/>
        <v>46182</v>
      </c>
      <c r="G393" s="68">
        <v>24</v>
      </c>
    </row>
    <row r="394" spans="1:7" ht="12.75">
      <c r="A394" s="309" t="str">
        <f t="shared" si="48"/>
        <v>Jun-07-2026 - Jun-13-2026</v>
      </c>
      <c r="B394" s="234">
        <f t="shared" si="40"/>
        <v>46180</v>
      </c>
      <c r="C394" s="234">
        <f t="shared" si="49"/>
        <v>46186</v>
      </c>
      <c r="D394" s="235">
        <f t="shared" si="50"/>
        <v>46038</v>
      </c>
      <c r="E394" s="235">
        <f t="shared" si="51"/>
        <v>46188</v>
      </c>
      <c r="F394" s="235">
        <f t="shared" si="52"/>
        <v>46189</v>
      </c>
      <c r="G394" s="236">
        <v>25</v>
      </c>
    </row>
    <row r="395" spans="1:7" ht="12.75">
      <c r="A395" s="309" t="str">
        <f t="shared" si="48"/>
        <v>Jun-14-2026 - Jun-20-2026</v>
      </c>
      <c r="B395" s="234">
        <f t="shared" si="40"/>
        <v>46187</v>
      </c>
      <c r="C395" s="234">
        <f t="shared" si="49"/>
        <v>46193</v>
      </c>
      <c r="D395" s="235">
        <f t="shared" si="50"/>
        <v>46038</v>
      </c>
      <c r="E395" s="235">
        <f t="shared" si="51"/>
        <v>46195</v>
      </c>
      <c r="F395" s="235">
        <f t="shared" si="52"/>
        <v>46196</v>
      </c>
      <c r="G395" s="236">
        <v>26</v>
      </c>
    </row>
    <row r="396" spans="1:7" ht="12.75">
      <c r="A396" s="150" t="str">
        <f t="shared" si="48"/>
        <v>Jun-21-2026 - Jun-27-2026</v>
      </c>
      <c r="B396" s="41">
        <f t="shared" si="40"/>
        <v>46194</v>
      </c>
      <c r="C396" s="41">
        <f t="shared" si="49"/>
        <v>46200</v>
      </c>
      <c r="D396" s="42">
        <f t="shared" si="50"/>
        <v>46038</v>
      </c>
      <c r="E396" s="42">
        <f t="shared" si="51"/>
        <v>46202</v>
      </c>
      <c r="F396" s="42">
        <f t="shared" si="52"/>
        <v>46203</v>
      </c>
      <c r="G396" s="68">
        <v>27</v>
      </c>
    </row>
    <row r="397" spans="1:7" ht="12.75">
      <c r="A397" s="150" t="str">
        <f t="shared" si="48"/>
        <v>Jun-28-2026 - Jul-04-2026</v>
      </c>
      <c r="B397" s="41">
        <f t="shared" si="40"/>
        <v>46201</v>
      </c>
      <c r="C397" s="41">
        <f t="shared" si="49"/>
        <v>46207</v>
      </c>
      <c r="D397" s="42">
        <f t="shared" si="50"/>
        <v>46038</v>
      </c>
      <c r="E397" s="42">
        <f t="shared" si="51"/>
        <v>46209</v>
      </c>
      <c r="F397" s="42">
        <f t="shared" si="52"/>
        <v>46210</v>
      </c>
      <c r="G397" s="68">
        <v>28</v>
      </c>
    </row>
    <row r="398" spans="1:7" ht="12.75">
      <c r="A398" s="309" t="str">
        <f t="shared" si="48"/>
        <v>Jul-05-2026 - Jul-11-2026</v>
      </c>
      <c r="B398" s="234">
        <f t="shared" si="40"/>
        <v>46208</v>
      </c>
      <c r="C398" s="234">
        <f t="shared" si="49"/>
        <v>46214</v>
      </c>
      <c r="D398" s="235">
        <f t="shared" si="50"/>
        <v>46038</v>
      </c>
      <c r="E398" s="235">
        <f t="shared" si="51"/>
        <v>46216</v>
      </c>
      <c r="F398" s="235">
        <f t="shared" si="52"/>
        <v>46217</v>
      </c>
      <c r="G398" s="236">
        <v>29</v>
      </c>
    </row>
    <row r="399" spans="1:7" ht="12.75">
      <c r="A399" s="309" t="str">
        <f t="shared" si="48"/>
        <v>Jul-12-2026 - Jul-18-2026</v>
      </c>
      <c r="B399" s="234">
        <f t="shared" si="40"/>
        <v>46215</v>
      </c>
      <c r="C399" s="234">
        <f t="shared" si="49"/>
        <v>46221</v>
      </c>
      <c r="D399" s="235">
        <f t="shared" si="50"/>
        <v>46038</v>
      </c>
      <c r="E399" s="235">
        <f t="shared" si="51"/>
        <v>46223</v>
      </c>
      <c r="F399" s="235">
        <f t="shared" si="52"/>
        <v>46224</v>
      </c>
      <c r="G399" s="236">
        <v>30</v>
      </c>
    </row>
    <row r="400" spans="1:7" ht="12.75">
      <c r="A400" s="150" t="str">
        <f t="shared" si="48"/>
        <v>Jul-19-2026 - Jul-25-2026</v>
      </c>
      <c r="B400" s="41">
        <f t="shared" si="40"/>
        <v>46222</v>
      </c>
      <c r="C400" s="41">
        <f t="shared" si="49"/>
        <v>46228</v>
      </c>
      <c r="D400" s="42">
        <f t="shared" si="50"/>
        <v>46038</v>
      </c>
      <c r="E400" s="42">
        <f t="shared" si="51"/>
        <v>46230</v>
      </c>
      <c r="F400" s="42">
        <f t="shared" si="52"/>
        <v>46231</v>
      </c>
      <c r="G400" s="68">
        <v>31</v>
      </c>
    </row>
    <row r="401" spans="1:7" ht="12.75">
      <c r="A401" s="150" t="str">
        <f t="shared" si="48"/>
        <v>Jul-26-2026 - Aug-01-2026</v>
      </c>
      <c r="B401" s="41">
        <f t="shared" si="40"/>
        <v>46229</v>
      </c>
      <c r="C401" s="41">
        <f t="shared" si="49"/>
        <v>46235</v>
      </c>
      <c r="D401" s="42">
        <f t="shared" si="50"/>
        <v>46038</v>
      </c>
      <c r="E401" s="42">
        <f t="shared" si="51"/>
        <v>46237</v>
      </c>
      <c r="F401" s="42">
        <f t="shared" si="52"/>
        <v>46238</v>
      </c>
      <c r="G401" s="68">
        <v>32</v>
      </c>
    </row>
    <row r="402" spans="1:7" ht="12.75">
      <c r="A402" s="309" t="str">
        <f t="shared" si="48"/>
        <v>Aug-02-2026 - Aug-08-2026</v>
      </c>
      <c r="B402" s="234">
        <f t="shared" si="40"/>
        <v>46236</v>
      </c>
      <c r="C402" s="234">
        <f t="shared" si="49"/>
        <v>46242</v>
      </c>
      <c r="D402" s="235">
        <f t="shared" si="50"/>
        <v>46038</v>
      </c>
      <c r="E402" s="235">
        <f t="shared" si="51"/>
        <v>46244</v>
      </c>
      <c r="F402" s="235">
        <f t="shared" si="52"/>
        <v>46245</v>
      </c>
      <c r="G402" s="236">
        <v>33</v>
      </c>
    </row>
    <row r="403" spans="1:7" ht="12.75">
      <c r="A403" s="309" t="str">
        <f t="shared" si="48"/>
        <v>Aug-09-2026 - Aug-15-2026</v>
      </c>
      <c r="B403" s="234">
        <f t="shared" si="40"/>
        <v>46243</v>
      </c>
      <c r="C403" s="234">
        <f t="shared" si="49"/>
        <v>46249</v>
      </c>
      <c r="D403" s="235">
        <f t="shared" si="50"/>
        <v>46038</v>
      </c>
      <c r="E403" s="235">
        <f t="shared" si="51"/>
        <v>46251</v>
      </c>
      <c r="F403" s="235">
        <f t="shared" si="52"/>
        <v>46252</v>
      </c>
      <c r="G403" s="236">
        <v>34</v>
      </c>
    </row>
    <row r="404" spans="1:7" ht="12.75">
      <c r="A404" s="150" t="str">
        <f t="shared" si="48"/>
        <v>Aug-16-2026 - Aug-22-2026</v>
      </c>
      <c r="B404" s="41">
        <f t="shared" si="40"/>
        <v>46250</v>
      </c>
      <c r="C404" s="41">
        <f t="shared" si="49"/>
        <v>46256</v>
      </c>
      <c r="D404" s="42">
        <f t="shared" si="50"/>
        <v>46038</v>
      </c>
      <c r="E404" s="42">
        <f t="shared" si="51"/>
        <v>46258</v>
      </c>
      <c r="F404" s="42">
        <f t="shared" si="52"/>
        <v>46259</v>
      </c>
      <c r="G404" s="68">
        <v>35</v>
      </c>
    </row>
    <row r="405" spans="1:7" ht="12.75">
      <c r="A405" s="150" t="str">
        <f t="shared" si="48"/>
        <v>Aug-23-2026 - Aug-29-2026</v>
      </c>
      <c r="B405" s="41">
        <f t="shared" si="40"/>
        <v>46257</v>
      </c>
      <c r="C405" s="41">
        <f t="shared" si="49"/>
        <v>46263</v>
      </c>
      <c r="D405" s="42">
        <f t="shared" si="50"/>
        <v>46038</v>
      </c>
      <c r="E405" s="42">
        <f t="shared" si="51"/>
        <v>46265</v>
      </c>
      <c r="F405" s="42">
        <f t="shared" si="52"/>
        <v>46266</v>
      </c>
      <c r="G405" s="68">
        <v>36</v>
      </c>
    </row>
    <row r="406" spans="1:7" ht="12.75">
      <c r="A406" s="309" t="str">
        <f t="shared" si="48"/>
        <v>Aug-30-2026 - Sep-05-2026</v>
      </c>
      <c r="B406" s="234">
        <f t="shared" si="40"/>
        <v>46264</v>
      </c>
      <c r="C406" s="234">
        <f t="shared" si="49"/>
        <v>46270</v>
      </c>
      <c r="D406" s="235">
        <f t="shared" si="50"/>
        <v>46038</v>
      </c>
      <c r="E406" s="235">
        <f t="shared" si="51"/>
        <v>46272</v>
      </c>
      <c r="F406" s="235">
        <f t="shared" si="52"/>
        <v>46273</v>
      </c>
      <c r="G406" s="236">
        <v>37</v>
      </c>
    </row>
    <row r="407" spans="1:7" ht="12.75">
      <c r="A407" s="309" t="str">
        <f t="shared" si="48"/>
        <v>Sep-06-2026 - Sep-12-2026</v>
      </c>
      <c r="B407" s="234">
        <f t="shared" si="40"/>
        <v>46271</v>
      </c>
      <c r="C407" s="234">
        <f t="shared" si="49"/>
        <v>46277</v>
      </c>
      <c r="D407" s="235">
        <f t="shared" si="50"/>
        <v>46038</v>
      </c>
      <c r="E407" s="235">
        <f t="shared" si="51"/>
        <v>46279</v>
      </c>
      <c r="F407" s="235">
        <f t="shared" si="52"/>
        <v>46280</v>
      </c>
      <c r="G407" s="236">
        <v>38</v>
      </c>
    </row>
    <row r="408" spans="1:7" ht="12.75">
      <c r="A408" s="150" t="str">
        <f t="shared" si="48"/>
        <v>Sep-13-2026 - Sep-19-2026</v>
      </c>
      <c r="B408" s="41">
        <f t="shared" si="40"/>
        <v>46278</v>
      </c>
      <c r="C408" s="41">
        <f t="shared" si="49"/>
        <v>46284</v>
      </c>
      <c r="D408" s="42">
        <f t="shared" si="50"/>
        <v>46038</v>
      </c>
      <c r="E408" s="42">
        <f t="shared" si="51"/>
        <v>46286</v>
      </c>
      <c r="F408" s="42">
        <f t="shared" si="52"/>
        <v>46287</v>
      </c>
      <c r="G408" s="68">
        <v>39</v>
      </c>
    </row>
    <row r="409" spans="1:7" ht="12.75">
      <c r="A409" s="150" t="str">
        <f t="shared" si="48"/>
        <v>Sep-20-2026 - Sep-26-2026</v>
      </c>
      <c r="B409" s="41">
        <f t="shared" si="40"/>
        <v>46285</v>
      </c>
      <c r="C409" s="41">
        <f t="shared" si="49"/>
        <v>46291</v>
      </c>
      <c r="D409" s="42">
        <f t="shared" si="50"/>
        <v>46038</v>
      </c>
      <c r="E409" s="42">
        <f t="shared" si="51"/>
        <v>46293</v>
      </c>
      <c r="F409" s="42">
        <f t="shared" si="52"/>
        <v>46294</v>
      </c>
      <c r="G409" s="68">
        <v>40</v>
      </c>
    </row>
    <row r="410" spans="1:7" ht="12.75">
      <c r="A410" s="309" t="str">
        <f t="shared" si="48"/>
        <v>Sep-27-2026 - Oct-03-2026</v>
      </c>
      <c r="B410" s="234">
        <f t="shared" si="40"/>
        <v>46292</v>
      </c>
      <c r="C410" s="234">
        <f t="shared" si="49"/>
        <v>46298</v>
      </c>
      <c r="D410" s="235">
        <f t="shared" si="50"/>
        <v>46038</v>
      </c>
      <c r="E410" s="235">
        <f t="shared" si="51"/>
        <v>46300</v>
      </c>
      <c r="F410" s="235">
        <f t="shared" si="52"/>
        <v>46301</v>
      </c>
      <c r="G410" s="236">
        <v>41</v>
      </c>
    </row>
    <row r="411" spans="1:7" ht="12.75">
      <c r="A411" s="309" t="str">
        <f t="shared" si="48"/>
        <v>Oct-04-2026 - Oct-10-2026</v>
      </c>
      <c r="B411" s="234">
        <f t="shared" si="40"/>
        <v>46299</v>
      </c>
      <c r="C411" s="234">
        <f t="shared" si="49"/>
        <v>46305</v>
      </c>
      <c r="D411" s="235">
        <f t="shared" si="50"/>
        <v>46038</v>
      </c>
      <c r="E411" s="235">
        <f t="shared" si="51"/>
        <v>46307</v>
      </c>
      <c r="F411" s="235">
        <f t="shared" si="52"/>
        <v>46308</v>
      </c>
      <c r="G411" s="236">
        <v>42</v>
      </c>
    </row>
    <row r="412" spans="1:7" ht="12.75">
      <c r="A412" s="150" t="str">
        <f t="shared" si="48"/>
        <v>Oct-11-2026 - Oct-17-2026</v>
      </c>
      <c r="B412" s="41">
        <f t="shared" si="40"/>
        <v>46306</v>
      </c>
      <c r="C412" s="41">
        <f t="shared" si="49"/>
        <v>46312</v>
      </c>
      <c r="D412" s="42">
        <f t="shared" si="50"/>
        <v>46038</v>
      </c>
      <c r="E412" s="42">
        <f t="shared" si="51"/>
        <v>46314</v>
      </c>
      <c r="F412" s="42">
        <f t="shared" si="52"/>
        <v>46315</v>
      </c>
      <c r="G412" s="68">
        <v>43</v>
      </c>
    </row>
    <row r="413" spans="1:7" ht="12.75">
      <c r="A413" s="150" t="str">
        <f t="shared" si="48"/>
        <v>Oct-18-2026 - Oct-24-2026</v>
      </c>
      <c r="B413" s="41">
        <f t="shared" si="40"/>
        <v>46313</v>
      </c>
      <c r="C413" s="41">
        <f t="shared" si="49"/>
        <v>46319</v>
      </c>
      <c r="D413" s="42">
        <f t="shared" si="50"/>
        <v>46038</v>
      </c>
      <c r="E413" s="42">
        <f t="shared" si="51"/>
        <v>46321</v>
      </c>
      <c r="F413" s="42">
        <f t="shared" si="52"/>
        <v>46322</v>
      </c>
      <c r="G413" s="68">
        <v>44</v>
      </c>
    </row>
    <row r="414" spans="1:7" ht="12.75">
      <c r="A414" s="309" t="str">
        <f t="shared" si="48"/>
        <v>Oct-25-2026 - Oct-31-2026</v>
      </c>
      <c r="B414" s="234">
        <f t="shared" si="40"/>
        <v>46320</v>
      </c>
      <c r="C414" s="234">
        <f t="shared" si="49"/>
        <v>46326</v>
      </c>
      <c r="D414" s="235">
        <f t="shared" si="50"/>
        <v>46038</v>
      </c>
      <c r="E414" s="235">
        <f t="shared" si="51"/>
        <v>46328</v>
      </c>
      <c r="F414" s="235">
        <f t="shared" si="52"/>
        <v>46329</v>
      </c>
      <c r="G414" s="236">
        <v>45</v>
      </c>
    </row>
    <row r="415" spans="1:7" ht="12.75">
      <c r="A415" s="309" t="str">
        <f t="shared" si="48"/>
        <v>Nov-01-2026 - Nov-07-2026</v>
      </c>
      <c r="B415" s="234">
        <f t="shared" si="40"/>
        <v>46327</v>
      </c>
      <c r="C415" s="234">
        <f t="shared" si="49"/>
        <v>46333</v>
      </c>
      <c r="D415" s="235">
        <f t="shared" si="50"/>
        <v>46038</v>
      </c>
      <c r="E415" s="235">
        <f t="shared" si="51"/>
        <v>46335</v>
      </c>
      <c r="F415" s="235">
        <f t="shared" si="52"/>
        <v>46336</v>
      </c>
      <c r="G415" s="236">
        <v>46</v>
      </c>
    </row>
    <row r="416" spans="1:7" ht="12.75">
      <c r="A416" s="150" t="str">
        <f t="shared" si="48"/>
        <v>Nov-08-2026 - Nov-14-2026</v>
      </c>
      <c r="B416" s="41">
        <f t="shared" si="40"/>
        <v>46334</v>
      </c>
      <c r="C416" s="41">
        <f t="shared" si="49"/>
        <v>46340</v>
      </c>
      <c r="D416" s="42">
        <f t="shared" si="50"/>
        <v>46038</v>
      </c>
      <c r="E416" s="42">
        <f t="shared" si="51"/>
        <v>46342</v>
      </c>
      <c r="F416" s="42">
        <f t="shared" si="52"/>
        <v>46343</v>
      </c>
      <c r="G416" s="68">
        <v>47</v>
      </c>
    </row>
    <row r="417" spans="1:7" ht="12.75">
      <c r="A417" s="150" t="str">
        <f t="shared" si="48"/>
        <v>Nov-15-2026 - Nov-21-2026</v>
      </c>
      <c r="B417" s="41">
        <f t="shared" si="40"/>
        <v>46341</v>
      </c>
      <c r="C417" s="41">
        <f t="shared" si="49"/>
        <v>46347</v>
      </c>
      <c r="D417" s="42">
        <f t="shared" si="50"/>
        <v>46038</v>
      </c>
      <c r="E417" s="42">
        <f t="shared" si="51"/>
        <v>46349</v>
      </c>
      <c r="F417" s="42">
        <f t="shared" si="52"/>
        <v>46350</v>
      </c>
      <c r="G417" s="68">
        <v>48</v>
      </c>
    </row>
    <row r="418" spans="1:7" ht="12.75">
      <c r="A418" s="309" t="str">
        <f t="shared" si="48"/>
        <v>Nov-22-2026 - Nov-28-2026</v>
      </c>
      <c r="B418" s="234">
        <f t="shared" si="40"/>
        <v>46348</v>
      </c>
      <c r="C418" s="234">
        <f t="shared" si="49"/>
        <v>46354</v>
      </c>
      <c r="D418" s="235">
        <f t="shared" si="50"/>
        <v>46038</v>
      </c>
      <c r="E418" s="235">
        <f t="shared" si="51"/>
        <v>46356</v>
      </c>
      <c r="F418" s="235">
        <f t="shared" si="52"/>
        <v>46357</v>
      </c>
      <c r="G418" s="236">
        <v>49</v>
      </c>
    </row>
    <row r="419" spans="1:7" ht="12.75">
      <c r="A419" s="309" t="str">
        <f t="shared" si="48"/>
        <v>Nov-29-2026 - Dec-05-2026</v>
      </c>
      <c r="B419" s="234">
        <f t="shared" si="40"/>
        <v>46355</v>
      </c>
      <c r="C419" s="234">
        <f t="shared" si="49"/>
        <v>46361</v>
      </c>
      <c r="D419" s="235">
        <f t="shared" si="50"/>
        <v>46038</v>
      </c>
      <c r="E419" s="235">
        <f t="shared" si="51"/>
        <v>46363</v>
      </c>
      <c r="F419" s="235">
        <f t="shared" si="52"/>
        <v>46364</v>
      </c>
      <c r="G419" s="236">
        <v>50</v>
      </c>
    </row>
    <row r="420" spans="1:7" ht="12.75">
      <c r="A420" s="150" t="str">
        <f t="shared" si="48"/>
        <v>Dec-06-2026 - Dec-12-2026</v>
      </c>
      <c r="B420" s="41">
        <f>B419+7</f>
        <v>46362</v>
      </c>
      <c r="C420" s="41">
        <f t="shared" si="49"/>
        <v>46368</v>
      </c>
      <c r="D420" s="42">
        <f t="shared" si="50"/>
        <v>46038</v>
      </c>
      <c r="E420" s="42">
        <f t="shared" si="51"/>
        <v>46370</v>
      </c>
      <c r="F420" s="42">
        <f t="shared" si="52"/>
        <v>46371</v>
      </c>
      <c r="G420" s="68">
        <v>51</v>
      </c>
    </row>
    <row r="421" spans="1:7" ht="12.75">
      <c r="A421" s="150" t="str">
        <f t="shared" si="48"/>
        <v>Dec-13-2026 - Dec-19-2026</v>
      </c>
      <c r="B421" s="41">
        <f>B420+7</f>
        <v>46369</v>
      </c>
      <c r="C421" s="41">
        <f t="shared" si="49"/>
        <v>46375</v>
      </c>
      <c r="D421" s="42">
        <f t="shared" si="50"/>
        <v>46038</v>
      </c>
      <c r="E421" s="42">
        <f t="shared" si="51"/>
        <v>46377</v>
      </c>
      <c r="F421" s="42">
        <f t="shared" si="52"/>
        <v>46378</v>
      </c>
      <c r="G421" s="68">
        <v>52</v>
      </c>
    </row>
    <row r="422" spans="1:7" ht="12.75">
      <c r="A422" s="309" t="str">
        <f>CONCATENATE(TEXT(B422,"mmm-dd-yyyy")," - ",(TEXT(C422,"mmm-dd-yyyy")))</f>
        <v>Dec-20-2026 - Dec-26-2026</v>
      </c>
      <c r="B422" s="234">
        <f>B421+7</f>
        <v>46376</v>
      </c>
      <c r="C422" s="234">
        <f>B422+6</f>
        <v>46382</v>
      </c>
      <c r="D422" s="235">
        <f>D421</f>
        <v>46038</v>
      </c>
      <c r="E422" s="235">
        <f>C422+2</f>
        <v>46384</v>
      </c>
      <c r="F422" s="235">
        <f>E422+1</f>
        <v>46385</v>
      </c>
      <c r="G422" s="236">
        <v>1</v>
      </c>
    </row>
    <row r="423" spans="1:7" ht="12.75">
      <c r="A423" s="309" t="str">
        <f>CONCATENATE(TEXT(B423,"mmm-dd-yyyy")," - ",(TEXT(C423,"mmm-dd-yyyy")))</f>
        <v>Dec-27-2026 - Jan-02-2027</v>
      </c>
      <c r="B423" s="234">
        <f>B422+7</f>
        <v>46383</v>
      </c>
      <c r="C423" s="234">
        <f>B423+6</f>
        <v>46389</v>
      </c>
      <c r="D423" s="235">
        <f>D422</f>
        <v>46038</v>
      </c>
      <c r="E423" s="235">
        <f>C423+2</f>
        <v>46391</v>
      </c>
      <c r="F423" s="235">
        <f>E423+1</f>
        <v>46392</v>
      </c>
      <c r="G423" s="236">
        <v>2</v>
      </c>
    </row>
  </sheetData>
  <sheetProtection password="E508" sheet="1" objects="1" scenarios="1" selectLockedCells="1"/>
  <printOptions/>
  <pageMargins left="0.7" right="0.7" top="0.75" bottom="0.75" header="0.3" footer="0.3"/>
  <pageSetup fitToHeight="0" fitToWidth="1" horizontalDpi="600" verticalDpi="600" orientation="landscape" scale="81" r:id="rId1"/>
  <ignoredErrors>
    <ignoredError sqref="D163:D326 D328:D359 D360:D3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C61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51.57421875" style="430" customWidth="1"/>
    <col min="2" max="2" width="97.57421875" style="430" customWidth="1"/>
  </cols>
  <sheetData>
    <row r="1" spans="1:2" ht="12.75">
      <c r="A1" s="577" t="s">
        <v>403</v>
      </c>
      <c r="B1" s="577"/>
    </row>
    <row r="2" spans="1:2" ht="55.5" customHeight="1">
      <c r="A2" s="577"/>
      <c r="B2" s="577"/>
    </row>
    <row r="3" spans="1:3" ht="16.5" customHeight="1">
      <c r="A3" s="416"/>
      <c r="B3" s="417"/>
      <c r="C3" s="415"/>
    </row>
    <row r="4" spans="1:2" ht="278.25" customHeight="1">
      <c r="A4" s="578" t="s">
        <v>400</v>
      </c>
      <c r="B4" s="578"/>
    </row>
    <row r="5" spans="1:2" ht="18.75">
      <c r="A5" s="419"/>
      <c r="B5" s="419"/>
    </row>
    <row r="6" spans="1:2" ht="18.75">
      <c r="A6" s="420" t="s">
        <v>373</v>
      </c>
      <c r="B6" s="419"/>
    </row>
    <row r="7" spans="1:2" ht="18.75">
      <c r="A7" s="421"/>
      <c r="B7" s="419"/>
    </row>
    <row r="8" spans="1:2" ht="18.75">
      <c r="A8" s="421" t="s">
        <v>374</v>
      </c>
      <c r="B8" s="422" t="s">
        <v>375</v>
      </c>
    </row>
    <row r="9" spans="1:2" ht="18.75">
      <c r="A9" s="421"/>
      <c r="B9" s="423"/>
    </row>
    <row r="10" spans="1:2" ht="18.75">
      <c r="A10" s="421" t="s">
        <v>376</v>
      </c>
      <c r="B10" s="419" t="s">
        <v>349</v>
      </c>
    </row>
    <row r="11" spans="1:2" ht="18.75">
      <c r="A11" s="421"/>
      <c r="B11" s="419"/>
    </row>
    <row r="12" spans="1:2" ht="18.75">
      <c r="A12" s="421" t="s">
        <v>377</v>
      </c>
      <c r="B12" s="419" t="s">
        <v>378</v>
      </c>
    </row>
    <row r="13" spans="1:2" ht="18.75">
      <c r="A13" s="421"/>
      <c r="B13" s="419"/>
    </row>
    <row r="14" spans="1:2" ht="18.75">
      <c r="A14" s="421" t="s">
        <v>379</v>
      </c>
      <c r="B14" s="424" t="s">
        <v>380</v>
      </c>
    </row>
    <row r="15" spans="1:2" ht="18.75">
      <c r="A15" s="421"/>
      <c r="B15" s="419" t="s">
        <v>351</v>
      </c>
    </row>
    <row r="16" spans="1:2" ht="18.75">
      <c r="A16" s="421" t="s">
        <v>381</v>
      </c>
      <c r="B16" s="425" t="s">
        <v>382</v>
      </c>
    </row>
    <row r="17" spans="1:2" ht="18.75">
      <c r="A17" s="421"/>
      <c r="B17" s="419"/>
    </row>
    <row r="18" spans="1:2" ht="18.75">
      <c r="A18" s="421" t="s">
        <v>383</v>
      </c>
      <c r="B18" s="419" t="s">
        <v>401</v>
      </c>
    </row>
    <row r="19" spans="1:2" ht="18.75">
      <c r="A19" s="421"/>
      <c r="B19" s="419"/>
    </row>
    <row r="20" spans="1:2" ht="18.75">
      <c r="A20" s="421" t="s">
        <v>350</v>
      </c>
      <c r="B20" s="422" t="s">
        <v>384</v>
      </c>
    </row>
    <row r="21" spans="1:2" ht="18.75">
      <c r="A21" s="421"/>
      <c r="B21" s="419"/>
    </row>
    <row r="22" spans="1:2" ht="37.5">
      <c r="A22" s="421" t="s">
        <v>385</v>
      </c>
      <c r="B22" s="424" t="s">
        <v>386</v>
      </c>
    </row>
    <row r="23" spans="1:2" ht="18.75">
      <c r="A23" s="421"/>
      <c r="B23" s="419"/>
    </row>
    <row r="24" spans="1:2" ht="18.75">
      <c r="A24" s="421" t="s">
        <v>387</v>
      </c>
      <c r="B24" s="419" t="s">
        <v>388</v>
      </c>
    </row>
    <row r="25" spans="1:2" ht="18.75">
      <c r="A25" s="421"/>
      <c r="B25" s="419"/>
    </row>
    <row r="26" spans="1:2" ht="93.75">
      <c r="A26" s="421" t="s">
        <v>389</v>
      </c>
      <c r="B26" s="424" t="s">
        <v>390</v>
      </c>
    </row>
    <row r="27" spans="1:2" ht="18.75">
      <c r="A27" s="421"/>
      <c r="B27" s="419"/>
    </row>
    <row r="28" spans="1:2" ht="93.75">
      <c r="A28" s="421" t="s">
        <v>391</v>
      </c>
      <c r="B28" s="424" t="s">
        <v>392</v>
      </c>
    </row>
    <row r="29" spans="1:2" ht="18.75">
      <c r="A29" s="421"/>
      <c r="B29" s="424"/>
    </row>
    <row r="30" spans="1:2" ht="56.25">
      <c r="A30" s="421" t="s">
        <v>393</v>
      </c>
      <c r="B30" s="424" t="s">
        <v>394</v>
      </c>
    </row>
    <row r="31" spans="1:2" ht="18.75">
      <c r="A31" s="421"/>
      <c r="B31" s="419"/>
    </row>
    <row r="32" spans="1:2" ht="112.5">
      <c r="A32" s="421" t="s">
        <v>395</v>
      </c>
      <c r="B32" s="422" t="s">
        <v>402</v>
      </c>
    </row>
    <row r="33" spans="1:2" ht="18.75">
      <c r="A33" s="421"/>
      <c r="B33" s="419"/>
    </row>
    <row r="34" spans="1:2" ht="56.25">
      <c r="A34" s="426" t="s">
        <v>396</v>
      </c>
      <c r="B34" s="422" t="s">
        <v>397</v>
      </c>
    </row>
    <row r="35" spans="1:2" ht="18.75">
      <c r="A35" s="421"/>
      <c r="B35" s="419"/>
    </row>
    <row r="36" spans="1:2" ht="75">
      <c r="A36" s="426" t="s">
        <v>398</v>
      </c>
      <c r="B36" s="422" t="s">
        <v>399</v>
      </c>
    </row>
    <row r="37" spans="1:2" ht="18.75">
      <c r="A37" s="421"/>
      <c r="B37" s="419"/>
    </row>
    <row r="38" spans="1:2" ht="18.75">
      <c r="A38" s="421"/>
      <c r="B38" s="422"/>
    </row>
    <row r="39" spans="1:2" ht="18.75">
      <c r="A39" s="421"/>
      <c r="B39" s="419"/>
    </row>
    <row r="40" spans="1:2" ht="18.75">
      <c r="A40" s="421"/>
      <c r="B40" s="424"/>
    </row>
    <row r="41" spans="1:2" ht="18.75">
      <c r="A41" s="421"/>
      <c r="B41" s="419"/>
    </row>
    <row r="42" spans="1:2" ht="18.75">
      <c r="A42" s="421"/>
      <c r="B42" s="422"/>
    </row>
    <row r="43" spans="1:2" ht="18.75">
      <c r="A43" s="421"/>
      <c r="B43" s="419"/>
    </row>
    <row r="44" spans="1:2" ht="18.75">
      <c r="A44" s="421"/>
      <c r="B44" s="428"/>
    </row>
    <row r="45" spans="1:2" ht="18.75">
      <c r="A45" s="421"/>
      <c r="B45" s="419"/>
    </row>
    <row r="46" spans="1:2" ht="18.75">
      <c r="A46" s="421"/>
      <c r="B46" s="422"/>
    </row>
    <row r="47" spans="1:2" ht="18.75">
      <c r="A47" s="421"/>
      <c r="B47" s="419"/>
    </row>
    <row r="48" spans="1:2" ht="18.75">
      <c r="A48" s="421"/>
      <c r="B48" s="422"/>
    </row>
    <row r="49" spans="1:2" ht="18.75">
      <c r="A49" s="421"/>
      <c r="B49" s="419"/>
    </row>
    <row r="50" spans="1:2" ht="18.75">
      <c r="A50" s="421"/>
      <c r="B50" s="422"/>
    </row>
    <row r="51" spans="1:2" ht="18.75">
      <c r="A51" s="421"/>
      <c r="B51" s="419"/>
    </row>
    <row r="52" spans="1:2" ht="18.75">
      <c r="A52" s="421"/>
      <c r="B52" s="422"/>
    </row>
    <row r="53" spans="1:2" ht="18.75">
      <c r="A53" s="421"/>
      <c r="B53" s="419"/>
    </row>
    <row r="54" spans="1:2" ht="18.75">
      <c r="A54" s="421"/>
      <c r="B54" s="422"/>
    </row>
    <row r="55" spans="1:2" ht="18.75">
      <c r="A55" s="421"/>
      <c r="B55" s="419"/>
    </row>
    <row r="56" spans="1:2" ht="18.75">
      <c r="A56" s="421"/>
      <c r="B56" s="422"/>
    </row>
    <row r="57" spans="1:2" ht="18.75">
      <c r="A57" s="427"/>
      <c r="B57" s="429"/>
    </row>
    <row r="58" spans="1:2" ht="18.75">
      <c r="A58" s="427"/>
      <c r="B58" s="427"/>
    </row>
    <row r="59" spans="1:2" ht="18.75">
      <c r="A59" s="427"/>
      <c r="B59" s="427"/>
    </row>
    <row r="60" spans="1:2" ht="18.75">
      <c r="A60" s="427"/>
      <c r="B60" s="427"/>
    </row>
    <row r="61" spans="1:2" ht="18.75">
      <c r="A61" s="427"/>
      <c r="B61" s="427"/>
    </row>
  </sheetData>
  <sheetProtection password="E508" sheet="1" selectLockedCells="1"/>
  <mergeCells count="2">
    <mergeCell ref="A1:B2"/>
    <mergeCell ref="A4:B4"/>
  </mergeCells>
  <printOptions/>
  <pageMargins left="0.25" right="0.25" top="0.25" bottom="0.25" header="0.3" footer="0.3"/>
  <pageSetup fitToHeight="0" fitToWidth="1" horizontalDpi="600" verticalDpi="6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65"/>
  <sheetViews>
    <sheetView showGridLines="0" tabSelected="1" zoomScalePageLayoutView="0" workbookViewId="0" topLeftCell="A10">
      <selection activeCell="B13" sqref="B13"/>
    </sheetView>
  </sheetViews>
  <sheetFormatPr defaultColWidth="9.140625" defaultRowHeight="12.75"/>
  <cols>
    <col min="1" max="1" width="112.28125" style="0" customWidth="1"/>
    <col min="2" max="2" width="1.1484375" style="0" customWidth="1"/>
    <col min="3" max="3" width="44.28125" style="0" customWidth="1"/>
  </cols>
  <sheetData>
    <row r="1" spans="1:5" s="352" customFormat="1" ht="42.75" customHeight="1">
      <c r="A1" s="351" t="s">
        <v>303</v>
      </c>
      <c r="B1" s="354"/>
      <c r="C1"/>
      <c r="D1"/>
      <c r="E1"/>
    </row>
    <row r="2" spans="1:7" ht="12.75" customHeight="1">
      <c r="A2" s="579" t="s">
        <v>465</v>
      </c>
      <c r="B2" s="355"/>
      <c r="C2" s="464" t="s">
        <v>460</v>
      </c>
      <c r="D2" s="464"/>
      <c r="E2" s="464"/>
      <c r="F2" s="464"/>
      <c r="G2" s="464"/>
    </row>
    <row r="3" spans="1:2" ht="12.75" customHeight="1">
      <c r="A3" s="579"/>
      <c r="B3" s="355"/>
    </row>
    <row r="4" spans="1:2" ht="12.75" customHeight="1">
      <c r="A4" s="579"/>
      <c r="B4" s="355"/>
    </row>
    <row r="5" spans="1:2" ht="12.75" customHeight="1">
      <c r="A5" s="579"/>
      <c r="B5" s="355"/>
    </row>
    <row r="6" spans="1:2" ht="12.75" customHeight="1">
      <c r="A6" s="579"/>
      <c r="B6" s="355"/>
    </row>
    <row r="7" spans="1:2" ht="12.75" customHeight="1">
      <c r="A7" s="579"/>
      <c r="B7" s="355"/>
    </row>
    <row r="8" spans="1:2" ht="12.75" customHeight="1">
      <c r="A8" s="579"/>
      <c r="B8" s="355"/>
    </row>
    <row r="9" spans="1:2" ht="12.75" customHeight="1">
      <c r="A9" s="579"/>
      <c r="B9" s="355"/>
    </row>
    <row r="10" spans="1:2" ht="12.75" customHeight="1">
      <c r="A10" s="579"/>
      <c r="B10" s="355"/>
    </row>
    <row r="11" spans="1:2" ht="12.75" customHeight="1">
      <c r="A11" s="579"/>
      <c r="B11" s="355"/>
    </row>
    <row r="12" spans="1:13" ht="12.75" customHeight="1">
      <c r="A12" s="579"/>
      <c r="B12" s="356"/>
      <c r="C12" s="348" t="s">
        <v>304</v>
      </c>
      <c r="D12" s="347"/>
      <c r="E12" s="347"/>
      <c r="F12" s="347"/>
      <c r="G12" s="347"/>
      <c r="H12" s="347"/>
      <c r="I12" s="347"/>
      <c r="J12" s="347"/>
      <c r="K12" s="347"/>
      <c r="L12" s="347"/>
      <c r="M12" s="347"/>
    </row>
    <row r="13" spans="1:2" ht="12.75" customHeight="1">
      <c r="A13" s="579"/>
      <c r="B13" s="357"/>
    </row>
    <row r="14" spans="1:2" ht="12.75" customHeight="1">
      <c r="A14" s="579"/>
      <c r="B14" s="355"/>
    </row>
    <row r="15" spans="1:2" ht="12.75" customHeight="1">
      <c r="A15" s="579"/>
      <c r="B15" s="355"/>
    </row>
    <row r="16" spans="1:2" ht="12.75" customHeight="1">
      <c r="A16" s="579"/>
      <c r="B16" s="355"/>
    </row>
    <row r="17" spans="1:2" ht="12.75" customHeight="1">
      <c r="A17" s="579"/>
      <c r="B17" s="355"/>
    </row>
    <row r="18" spans="1:2" ht="12.75" customHeight="1">
      <c r="A18" s="579"/>
      <c r="B18" s="355"/>
    </row>
    <row r="19" spans="1:5" ht="12.75" customHeight="1">
      <c r="A19" s="579"/>
      <c r="B19" s="355"/>
      <c r="E19" s="353"/>
    </row>
    <row r="20" spans="1:5" ht="12.75" customHeight="1">
      <c r="A20" s="579"/>
      <c r="B20" s="355"/>
      <c r="C20" s="582" t="s">
        <v>313</v>
      </c>
      <c r="E20" s="353"/>
    </row>
    <row r="21" spans="1:5" ht="12.75" customHeight="1">
      <c r="A21" s="579"/>
      <c r="B21" s="355"/>
      <c r="C21" s="582"/>
      <c r="E21" s="353"/>
    </row>
    <row r="22" spans="1:5" ht="12.75" customHeight="1">
      <c r="A22" s="579"/>
      <c r="B22" s="355"/>
      <c r="E22" s="353"/>
    </row>
    <row r="23" spans="1:5" ht="12.75" customHeight="1">
      <c r="A23" s="579"/>
      <c r="B23" s="355"/>
      <c r="E23" s="353"/>
    </row>
    <row r="24" spans="1:5" ht="12.75" customHeight="1">
      <c r="A24" s="579"/>
      <c r="B24" s="355"/>
      <c r="E24" s="353"/>
    </row>
    <row r="25" spans="1:5" ht="73.5" customHeight="1">
      <c r="A25" s="579"/>
      <c r="B25" s="355"/>
      <c r="E25" s="353"/>
    </row>
    <row r="26" spans="1:5" ht="12.75" customHeight="1">
      <c r="A26" s="580"/>
      <c r="B26" s="355"/>
      <c r="E26" s="353"/>
    </row>
    <row r="27" spans="1:5" ht="12.75" customHeight="1">
      <c r="A27" s="581"/>
      <c r="B27" s="355"/>
      <c r="E27" s="353"/>
    </row>
    <row r="28" spans="2:5" ht="12.75" customHeight="1">
      <c r="B28" s="355"/>
      <c r="E28" s="353"/>
    </row>
    <row r="29" spans="1:5" ht="12.75" customHeight="1">
      <c r="A29" s="168"/>
      <c r="B29" s="355"/>
      <c r="E29" s="353"/>
    </row>
    <row r="30" ht="12.75" customHeight="1">
      <c r="B30" s="355"/>
    </row>
    <row r="31" ht="12.75" customHeight="1">
      <c r="B31" s="355"/>
    </row>
    <row r="32" ht="12.75" customHeight="1">
      <c r="B32" s="355"/>
    </row>
    <row r="33" ht="12.75" customHeight="1">
      <c r="B33" s="355"/>
    </row>
    <row r="34" ht="12.75" customHeight="1">
      <c r="B34" s="355"/>
    </row>
    <row r="35" ht="12.75" customHeight="1">
      <c r="B35" s="355"/>
    </row>
    <row r="36" ht="12.75" customHeight="1">
      <c r="B36" s="355"/>
    </row>
    <row r="37" ht="12.75" customHeight="1">
      <c r="B37" s="355"/>
    </row>
    <row r="38" ht="12.75" customHeight="1">
      <c r="B38" s="355"/>
    </row>
    <row r="39" ht="12.75" customHeight="1">
      <c r="B39" s="355"/>
    </row>
    <row r="40" ht="12.75" customHeight="1">
      <c r="B40" s="355"/>
    </row>
    <row r="41" ht="12.75" customHeight="1">
      <c r="B41" s="355"/>
    </row>
    <row r="42" ht="12.75" customHeight="1">
      <c r="B42" s="355"/>
    </row>
    <row r="43" ht="12.75" customHeight="1">
      <c r="B43" s="355"/>
    </row>
    <row r="44" ht="12.75" customHeight="1">
      <c r="B44" s="355"/>
    </row>
    <row r="45" ht="12.75">
      <c r="B45" s="355"/>
    </row>
    <row r="46" ht="12.75">
      <c r="B46" s="355"/>
    </row>
    <row r="47" ht="12.75">
      <c r="B47" s="355"/>
    </row>
    <row r="48" ht="12.75">
      <c r="B48" s="355"/>
    </row>
    <row r="49" ht="12.75">
      <c r="B49" s="355"/>
    </row>
    <row r="50" ht="12.75">
      <c r="B50" s="355"/>
    </row>
    <row r="51" ht="12.75">
      <c r="B51" s="355"/>
    </row>
    <row r="52" ht="12.75">
      <c r="B52" s="355"/>
    </row>
    <row r="53" ht="12.75">
      <c r="B53" s="355"/>
    </row>
    <row r="55" ht="12.75">
      <c r="A55" s="579"/>
    </row>
    <row r="56" ht="12.75">
      <c r="A56" s="579"/>
    </row>
    <row r="57" ht="12.75">
      <c r="A57" s="579"/>
    </row>
    <row r="58" ht="12.75">
      <c r="A58" s="579"/>
    </row>
    <row r="59" ht="12.75">
      <c r="A59" s="579"/>
    </row>
    <row r="60" ht="12.75">
      <c r="A60" s="579"/>
    </row>
    <row r="61" ht="12.75">
      <c r="A61" s="579"/>
    </row>
    <row r="62" ht="12.75">
      <c r="A62" s="579"/>
    </row>
    <row r="63" ht="12.75">
      <c r="A63" s="579"/>
    </row>
    <row r="64" ht="12.75">
      <c r="A64" s="579"/>
    </row>
    <row r="65" ht="201.75" customHeight="1">
      <c r="A65" s="579"/>
    </row>
  </sheetData>
  <sheetProtection password="E508" sheet="1" objects="1" scenarios="1" selectLockedCells="1"/>
  <mergeCells count="4">
    <mergeCell ref="A55:A65"/>
    <mergeCell ref="A2:A25"/>
    <mergeCell ref="A26:A27"/>
    <mergeCell ref="C20:C21"/>
  </mergeCells>
  <printOptions/>
  <pageMargins left="0.5" right="0.5" top="0.5" bottom="0.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44"/>
  <sheetViews>
    <sheetView showGridLines="0" zoomScalePageLayoutView="0" workbookViewId="0" topLeftCell="A2">
      <selection activeCell="J8" sqref="J8"/>
    </sheetView>
  </sheetViews>
  <sheetFormatPr defaultColWidth="19.7109375" defaultRowHeight="12.75"/>
  <cols>
    <col min="1" max="1" width="2.28125" style="0" customWidth="1"/>
    <col min="2" max="2" width="9.8515625" style="0" hidden="1" customWidth="1"/>
    <col min="3" max="3" width="19.140625" style="0" customWidth="1"/>
    <col min="4" max="4" width="2.7109375" style="0" customWidth="1"/>
    <col min="5" max="5" width="9.7109375" style="0" customWidth="1"/>
    <col min="6" max="6" width="9.8515625" style="0" customWidth="1"/>
    <col min="7" max="7" width="8.7109375" style="0" customWidth="1"/>
    <col min="8" max="8" width="3.28125" style="0" hidden="1" customWidth="1"/>
    <col min="9" max="9" width="19.140625" style="0" customWidth="1"/>
    <col min="10" max="10" width="2.7109375" style="0" customWidth="1"/>
    <col min="11" max="11" width="9.8515625" style="0" customWidth="1"/>
    <col min="12" max="13" width="9.140625" style="0" customWidth="1"/>
    <col min="14" max="14" width="6.7109375" style="0" hidden="1" customWidth="1"/>
    <col min="15" max="15" width="19.140625" style="0" customWidth="1"/>
    <col min="16" max="16" width="2.7109375" style="40" customWidth="1"/>
    <col min="17" max="17" width="7.7109375" style="0" customWidth="1"/>
    <col min="18" max="18" width="9.8515625" style="0" customWidth="1"/>
    <col min="19" max="19" width="9.140625" style="0" customWidth="1"/>
    <col min="20" max="20" width="1.421875" style="0" customWidth="1"/>
    <col min="21" max="21" width="1.57421875" style="95" customWidth="1"/>
    <col min="22" max="27" width="9.140625" style="95" customWidth="1"/>
    <col min="28" max="254" width="9.140625" style="0" customWidth="1"/>
    <col min="255" max="255" width="10.421875" style="0" customWidth="1"/>
  </cols>
  <sheetData>
    <row r="1" spans="1:27" s="24" customFormat="1" ht="33" customHeight="1">
      <c r="A1" s="605"/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T1" s="27"/>
      <c r="U1" s="179"/>
      <c r="V1" s="598" t="s">
        <v>255</v>
      </c>
      <c r="W1" s="598"/>
      <c r="X1" s="598"/>
      <c r="Y1" s="598"/>
      <c r="Z1" s="598"/>
      <c r="AA1" s="61"/>
    </row>
    <row r="2" spans="1:27" s="169" customFormat="1" ht="34.5" customHeight="1">
      <c r="A2" s="586" t="s">
        <v>194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229"/>
      <c r="U2" s="174"/>
      <c r="V2" s="180"/>
      <c r="W2" s="180"/>
      <c r="X2" s="180"/>
      <c r="Y2" s="180"/>
      <c r="Z2" s="180"/>
      <c r="AA2" s="180"/>
    </row>
    <row r="3" spans="1:27" s="24" customFormat="1" ht="18" customHeight="1" thickBot="1">
      <c r="A3" s="606" t="s">
        <v>195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230"/>
      <c r="U3" s="175"/>
      <c r="V3" s="61"/>
      <c r="W3" s="61"/>
      <c r="X3" s="61"/>
      <c r="Y3" s="61"/>
      <c r="Z3" s="61"/>
      <c r="AA3" s="61"/>
    </row>
    <row r="4" spans="18:21" ht="9" customHeight="1">
      <c r="R4" s="607" t="s">
        <v>172</v>
      </c>
      <c r="S4" s="608"/>
      <c r="T4" s="43"/>
      <c r="U4" s="176"/>
    </row>
    <row r="5" spans="1:21" ht="15" customHeight="1">
      <c r="A5" s="43"/>
      <c r="B5" s="43"/>
      <c r="C5" s="43"/>
      <c r="D5" s="43"/>
      <c r="E5" s="43"/>
      <c r="F5" s="604"/>
      <c r="G5" s="604"/>
      <c r="H5" s="604"/>
      <c r="I5" s="604"/>
      <c r="J5" s="604"/>
      <c r="K5" s="604"/>
      <c r="L5" s="604"/>
      <c r="M5" s="604"/>
      <c r="N5" s="604"/>
      <c r="O5" s="43"/>
      <c r="Q5" s="43"/>
      <c r="R5" s="609"/>
      <c r="S5" s="610"/>
      <c r="T5" s="43"/>
      <c r="U5" s="176"/>
    </row>
    <row r="6" spans="1:21" ht="15.75" thickBot="1">
      <c r="A6" s="43"/>
      <c r="B6" s="43"/>
      <c r="C6" s="43"/>
      <c r="D6" s="43"/>
      <c r="E6" s="43"/>
      <c r="F6" s="591"/>
      <c r="G6" s="591"/>
      <c r="H6" s="591"/>
      <c r="I6" s="591"/>
      <c r="J6" s="591"/>
      <c r="K6" s="591"/>
      <c r="L6" s="591"/>
      <c r="M6" s="591"/>
      <c r="N6" s="591"/>
      <c r="O6" s="43"/>
      <c r="Q6" s="43"/>
      <c r="R6" s="592" t="s">
        <v>196</v>
      </c>
      <c r="S6" s="593"/>
      <c r="T6" s="43"/>
      <c r="U6" s="176"/>
    </row>
    <row r="7" spans="1:21" ht="11.25" customHeight="1">
      <c r="A7" s="43"/>
      <c r="B7" s="43"/>
      <c r="C7" s="43"/>
      <c r="D7" s="43"/>
      <c r="E7" s="43"/>
      <c r="F7" s="40"/>
      <c r="G7" s="40"/>
      <c r="H7" s="40"/>
      <c r="I7" s="40"/>
      <c r="J7" s="40"/>
      <c r="K7" s="40"/>
      <c r="L7" s="40"/>
      <c r="M7" s="40"/>
      <c r="N7" s="40"/>
      <c r="O7" s="43"/>
      <c r="Q7" s="43"/>
      <c r="R7" s="148"/>
      <c r="S7" s="148"/>
      <c r="T7" s="43"/>
      <c r="U7" s="175"/>
    </row>
    <row r="8" spans="2:21" ht="15.75" customHeight="1" thickBot="1">
      <c r="B8" s="295" t="s">
        <v>252</v>
      </c>
      <c r="C8" s="311" t="s">
        <v>290</v>
      </c>
      <c r="D8" s="311"/>
      <c r="E8" s="585"/>
      <c r="F8" s="585"/>
      <c r="G8" s="585"/>
      <c r="H8" s="585"/>
      <c r="I8" s="585"/>
      <c r="J8" s="321"/>
      <c r="K8" s="296"/>
      <c r="L8" s="588" t="s">
        <v>197</v>
      </c>
      <c r="M8" s="588"/>
      <c r="N8" s="315"/>
      <c r="O8" s="315"/>
      <c r="P8" s="317"/>
      <c r="Q8" s="315"/>
      <c r="R8" s="315"/>
      <c r="S8" s="316"/>
      <c r="T8" s="43"/>
      <c r="U8" s="175"/>
    </row>
    <row r="9" spans="1:21" ht="9" customHeight="1" thickBot="1">
      <c r="A9" s="43"/>
      <c r="B9" s="43"/>
      <c r="C9" s="149"/>
      <c r="D9" s="149"/>
      <c r="E9" s="149"/>
      <c r="F9" s="149"/>
      <c r="G9" s="40"/>
      <c r="H9" s="40"/>
      <c r="I9" s="149"/>
      <c r="J9" s="149"/>
      <c r="K9" s="149"/>
      <c r="L9" s="149"/>
      <c r="M9" s="150"/>
      <c r="N9" s="150"/>
      <c r="O9" s="161"/>
      <c r="P9" s="148"/>
      <c r="Q9" s="43"/>
      <c r="R9" s="43"/>
      <c r="S9" s="43"/>
      <c r="T9" s="43"/>
      <c r="U9" s="175"/>
    </row>
    <row r="10" spans="1:21" ht="0.75" customHeight="1" thickBot="1">
      <c r="A10" s="43"/>
      <c r="B10" s="156" t="s">
        <v>198</v>
      </c>
      <c r="C10" s="569" t="e">
        <f>VLOOKUP(R4,'Monthly TS Periods'!A3:B86,2,)</f>
        <v>#N/A</v>
      </c>
      <c r="D10" s="320"/>
      <c r="E10" s="602" t="s">
        <v>199</v>
      </c>
      <c r="F10" s="603"/>
      <c r="G10" s="603"/>
      <c r="H10" s="157"/>
      <c r="I10" s="583"/>
      <c r="J10" s="584"/>
      <c r="K10" s="584"/>
      <c r="L10" s="152"/>
      <c r="M10" s="43"/>
      <c r="N10" s="43"/>
      <c r="O10" s="43"/>
      <c r="Q10" s="43"/>
      <c r="R10" s="43"/>
      <c r="S10" s="43"/>
      <c r="T10" s="43"/>
      <c r="U10" s="175"/>
    </row>
    <row r="11" spans="1:21" ht="20.25" customHeight="1">
      <c r="A11" s="43"/>
      <c r="C11" s="525" t="s">
        <v>8</v>
      </c>
      <c r="D11" s="207"/>
      <c r="E11" s="207" t="s">
        <v>200</v>
      </c>
      <c r="F11" s="207" t="s">
        <v>201</v>
      </c>
      <c r="G11" s="208" t="s">
        <v>202</v>
      </c>
      <c r="H11" s="589" t="s">
        <v>8</v>
      </c>
      <c r="I11" s="590"/>
      <c r="J11" s="207"/>
      <c r="K11" s="207" t="s">
        <v>200</v>
      </c>
      <c r="L11" s="207" t="s">
        <v>201</v>
      </c>
      <c r="M11" s="208" t="s">
        <v>202</v>
      </c>
      <c r="N11" s="525" t="s">
        <v>8</v>
      </c>
      <c r="O11" s="207"/>
      <c r="P11" s="207"/>
      <c r="Q11" s="207" t="s">
        <v>200</v>
      </c>
      <c r="R11" s="207" t="s">
        <v>201</v>
      </c>
      <c r="S11" s="208" t="s">
        <v>202</v>
      </c>
      <c r="T11" s="43"/>
      <c r="U11" s="175"/>
    </row>
    <row r="12" spans="1:21" ht="15.75" customHeight="1">
      <c r="A12" s="43"/>
      <c r="B12" s="203">
        <v>1</v>
      </c>
      <c r="C12" s="314" t="str">
        <f>R4</f>
        <v>Select the Month</v>
      </c>
      <c r="D12" s="325">
        <f>IF(Holidays!C53="Holiday","H","")</f>
      </c>
      <c r="E12" s="204"/>
      <c r="F12" s="205"/>
      <c r="G12" s="289"/>
      <c r="H12" s="203">
        <f>+B21+1</f>
        <v>11</v>
      </c>
      <c r="I12" s="314" t="e">
        <f>IF(H12&lt;=$C$10,C21+1,"  ")</f>
        <v>#N/A</v>
      </c>
      <c r="J12" s="325">
        <f>IF(Holidays!C63="Holiday","H","")</f>
      </c>
      <c r="K12" s="204"/>
      <c r="L12" s="205"/>
      <c r="M12" s="289"/>
      <c r="N12" s="203">
        <f>+H21+1</f>
        <v>21</v>
      </c>
      <c r="O12" s="314" t="e">
        <f>IF(N12&lt;=$C$10,I21+1,"  ")</f>
        <v>#N/A</v>
      </c>
      <c r="P12" s="325">
        <f>IF(Holidays!C73="Holiday","H","")</f>
      </c>
      <c r="Q12" s="204"/>
      <c r="R12" s="205"/>
      <c r="S12" s="289"/>
      <c r="T12" s="43"/>
      <c r="U12" s="175"/>
    </row>
    <row r="13" spans="1:21" ht="15.75" customHeight="1">
      <c r="A13" s="43"/>
      <c r="B13" s="203">
        <f>+B12+1</f>
        <v>2</v>
      </c>
      <c r="C13" s="314" t="e">
        <f>IF(B13&lt;=$C$10,C12+1,"  ")</f>
        <v>#N/A</v>
      </c>
      <c r="D13" s="325">
        <f>IF(Holidays!C54="Holiday","H","")</f>
      </c>
      <c r="E13" s="204"/>
      <c r="F13" s="205"/>
      <c r="G13" s="289"/>
      <c r="H13" s="203">
        <f aca="true" t="shared" si="0" ref="H13:H21">+H12+1</f>
        <v>12</v>
      </c>
      <c r="I13" s="314" t="e">
        <f aca="true" t="shared" si="1" ref="I13:I21">IF(H13&lt;=$C$10,I12+1,"  ")</f>
        <v>#N/A</v>
      </c>
      <c r="J13" s="325">
        <f>IF(Holidays!C64="Holiday","H","")</f>
      </c>
      <c r="K13" s="204"/>
      <c r="L13" s="205"/>
      <c r="M13" s="289"/>
      <c r="N13" s="203">
        <f aca="true" t="shared" si="2" ref="N13:N22">+N12+1</f>
        <v>22</v>
      </c>
      <c r="O13" s="314" t="e">
        <f aca="true" t="shared" si="3" ref="O13:O21">IF(N13&lt;=$C$10,O12+1,"  ")</f>
        <v>#N/A</v>
      </c>
      <c r="P13" s="325">
        <f>IF(Holidays!C74="Holiday","H","")</f>
      </c>
      <c r="Q13" s="204"/>
      <c r="R13" s="205"/>
      <c r="S13" s="289"/>
      <c r="T13" s="43"/>
      <c r="U13" s="175"/>
    </row>
    <row r="14" spans="1:21" ht="15.75" customHeight="1">
      <c r="A14" s="43"/>
      <c r="B14" s="203">
        <f aca="true" t="shared" si="4" ref="B14:B21">+B13+1</f>
        <v>3</v>
      </c>
      <c r="C14" s="314" t="e">
        <f aca="true" t="shared" si="5" ref="C14:C21">IF(B14&lt;=$C$10,C13+1,"  ")</f>
        <v>#N/A</v>
      </c>
      <c r="D14" s="325">
        <f>IF(Holidays!C55="Holiday","H","")</f>
      </c>
      <c r="E14" s="204"/>
      <c r="F14" s="205"/>
      <c r="G14" s="289"/>
      <c r="H14" s="203">
        <f t="shared" si="0"/>
        <v>13</v>
      </c>
      <c r="I14" s="314" t="e">
        <f t="shared" si="1"/>
        <v>#N/A</v>
      </c>
      <c r="J14" s="325">
        <f>IF(Holidays!C65="Holiday","H","")</f>
      </c>
      <c r="K14" s="204"/>
      <c r="L14" s="205"/>
      <c r="M14" s="289"/>
      <c r="N14" s="203">
        <f t="shared" si="2"/>
        <v>23</v>
      </c>
      <c r="O14" s="314" t="e">
        <f t="shared" si="3"/>
        <v>#N/A</v>
      </c>
      <c r="P14" s="325">
        <f>IF(Holidays!C75="Holiday","H","")</f>
      </c>
      <c r="Q14" s="204"/>
      <c r="R14" s="205"/>
      <c r="S14" s="289"/>
      <c r="T14" s="43"/>
      <c r="U14" s="175"/>
    </row>
    <row r="15" spans="1:21" ht="15.75" customHeight="1">
      <c r="A15" s="43"/>
      <c r="B15" s="203">
        <f t="shared" si="4"/>
        <v>4</v>
      </c>
      <c r="C15" s="314" t="e">
        <f t="shared" si="5"/>
        <v>#N/A</v>
      </c>
      <c r="D15" s="325">
        <f>IF(Holidays!C56="Holiday","H","")</f>
      </c>
      <c r="E15" s="204"/>
      <c r="F15" s="205"/>
      <c r="G15" s="289"/>
      <c r="H15" s="203">
        <f t="shared" si="0"/>
        <v>14</v>
      </c>
      <c r="I15" s="314" t="e">
        <f t="shared" si="1"/>
        <v>#N/A</v>
      </c>
      <c r="J15" s="325">
        <f>IF(Holidays!C66="Holiday","H","")</f>
      </c>
      <c r="K15" s="204"/>
      <c r="L15" s="205"/>
      <c r="M15" s="289"/>
      <c r="N15" s="203">
        <f t="shared" si="2"/>
        <v>24</v>
      </c>
      <c r="O15" s="314" t="e">
        <f t="shared" si="3"/>
        <v>#N/A</v>
      </c>
      <c r="P15" s="325">
        <f>IF(Holidays!C76="Holiday","H","")</f>
      </c>
      <c r="Q15" s="204"/>
      <c r="R15" s="205"/>
      <c r="S15" s="289"/>
      <c r="T15" s="43"/>
      <c r="U15" s="175"/>
    </row>
    <row r="16" spans="1:29" ht="15.75" customHeight="1">
      <c r="A16" s="43"/>
      <c r="B16" s="203">
        <f t="shared" si="4"/>
        <v>5</v>
      </c>
      <c r="C16" s="314" t="e">
        <f t="shared" si="5"/>
        <v>#N/A</v>
      </c>
      <c r="D16" s="325">
        <f>IF(Holidays!C57="Holiday","H","")</f>
      </c>
      <c r="E16" s="204"/>
      <c r="F16" s="205"/>
      <c r="G16" s="289"/>
      <c r="H16" s="203">
        <f t="shared" si="0"/>
        <v>15</v>
      </c>
      <c r="I16" s="314" t="e">
        <f t="shared" si="1"/>
        <v>#N/A</v>
      </c>
      <c r="J16" s="325">
        <f>IF(Holidays!C67="Holiday","H","")</f>
      </c>
      <c r="K16" s="204"/>
      <c r="L16" s="205"/>
      <c r="M16" s="289"/>
      <c r="N16" s="203">
        <f t="shared" si="2"/>
        <v>25</v>
      </c>
      <c r="O16" s="314" t="e">
        <f t="shared" si="3"/>
        <v>#N/A</v>
      </c>
      <c r="P16" s="325">
        <f>IF(Holidays!C77="Holiday","H","")</f>
      </c>
      <c r="Q16" s="204"/>
      <c r="R16" s="205"/>
      <c r="S16" s="289"/>
      <c r="T16" s="43"/>
      <c r="U16" s="175"/>
      <c r="AC16" s="95"/>
    </row>
    <row r="17" spans="1:29" ht="15.75" customHeight="1">
      <c r="A17" s="43"/>
      <c r="B17" s="203">
        <f t="shared" si="4"/>
        <v>6</v>
      </c>
      <c r="C17" s="314" t="e">
        <f t="shared" si="5"/>
        <v>#N/A</v>
      </c>
      <c r="D17" s="325">
        <f>IF(Holidays!C58="Holiday","H","")</f>
      </c>
      <c r="E17" s="204"/>
      <c r="F17" s="205"/>
      <c r="G17" s="289"/>
      <c r="H17" s="203">
        <f t="shared" si="0"/>
        <v>16</v>
      </c>
      <c r="I17" s="314" t="e">
        <f t="shared" si="1"/>
        <v>#N/A</v>
      </c>
      <c r="J17" s="325">
        <f>IF(Holidays!C68="Holiday","H","")</f>
      </c>
      <c r="K17" s="204"/>
      <c r="L17" s="205"/>
      <c r="M17" s="289"/>
      <c r="N17" s="203">
        <f t="shared" si="2"/>
        <v>26</v>
      </c>
      <c r="O17" s="314" t="e">
        <f t="shared" si="3"/>
        <v>#N/A</v>
      </c>
      <c r="P17" s="325">
        <f>IF(Holidays!C78="Holiday","H","")</f>
      </c>
      <c r="Q17" s="204"/>
      <c r="R17" s="205"/>
      <c r="S17" s="289"/>
      <c r="T17" s="43"/>
      <c r="U17" s="177"/>
      <c r="AC17" s="95"/>
    </row>
    <row r="18" spans="1:29" ht="15.75" customHeight="1">
      <c r="A18" s="43"/>
      <c r="B18" s="203">
        <f t="shared" si="4"/>
        <v>7</v>
      </c>
      <c r="C18" s="314" t="e">
        <f t="shared" si="5"/>
        <v>#N/A</v>
      </c>
      <c r="D18" s="325">
        <f>IF(Holidays!C59="Holiday","H","")</f>
      </c>
      <c r="E18" s="204"/>
      <c r="F18" s="205"/>
      <c r="G18" s="289"/>
      <c r="H18" s="203">
        <f t="shared" si="0"/>
        <v>17</v>
      </c>
      <c r="I18" s="314" t="e">
        <f t="shared" si="1"/>
        <v>#N/A</v>
      </c>
      <c r="J18" s="325">
        <f>IF(Holidays!C69="Holiday","H","")</f>
      </c>
      <c r="K18" s="204"/>
      <c r="L18" s="205"/>
      <c r="M18" s="289"/>
      <c r="N18" s="203">
        <f t="shared" si="2"/>
        <v>27</v>
      </c>
      <c r="O18" s="314" t="e">
        <f t="shared" si="3"/>
        <v>#N/A</v>
      </c>
      <c r="P18" s="325">
        <f>IF(Holidays!C79="Holiday","H","")</f>
      </c>
      <c r="Q18" s="204"/>
      <c r="R18" s="205"/>
      <c r="S18" s="289"/>
      <c r="T18" s="43"/>
      <c r="U18" s="175"/>
      <c r="AC18" s="95"/>
    </row>
    <row r="19" spans="1:29" ht="15.75" customHeight="1">
      <c r="A19" s="43"/>
      <c r="B19" s="203">
        <f t="shared" si="4"/>
        <v>8</v>
      </c>
      <c r="C19" s="314" t="e">
        <f t="shared" si="5"/>
        <v>#N/A</v>
      </c>
      <c r="D19" s="325">
        <f>IF(Holidays!C60="Holiday","H","")</f>
      </c>
      <c r="E19" s="204"/>
      <c r="F19" s="205"/>
      <c r="G19" s="289"/>
      <c r="H19" s="203">
        <f t="shared" si="0"/>
        <v>18</v>
      </c>
      <c r="I19" s="314" t="e">
        <f t="shared" si="1"/>
        <v>#N/A</v>
      </c>
      <c r="J19" s="325">
        <f>IF(Holidays!C70="Holiday","H","")</f>
      </c>
      <c r="K19" s="204"/>
      <c r="L19" s="205"/>
      <c r="M19" s="289"/>
      <c r="N19" s="203">
        <f t="shared" si="2"/>
        <v>28</v>
      </c>
      <c r="O19" s="314" t="e">
        <f t="shared" si="3"/>
        <v>#N/A</v>
      </c>
      <c r="P19" s="325">
        <f>IF(Holidays!C80="Holiday","H","")</f>
      </c>
      <c r="Q19" s="204"/>
      <c r="R19" s="205"/>
      <c r="S19" s="289"/>
      <c r="T19" s="43"/>
      <c r="U19" s="175"/>
      <c r="AC19" s="95"/>
    </row>
    <row r="20" spans="1:29" ht="15.75" customHeight="1">
      <c r="A20" s="43"/>
      <c r="B20" s="203">
        <f t="shared" si="4"/>
        <v>9</v>
      </c>
      <c r="C20" s="314" t="e">
        <f t="shared" si="5"/>
        <v>#N/A</v>
      </c>
      <c r="D20" s="325">
        <f>IF(Holidays!C61="Holiday","H","")</f>
      </c>
      <c r="E20" s="204"/>
      <c r="F20" s="205"/>
      <c r="G20" s="289"/>
      <c r="H20" s="203">
        <f t="shared" si="0"/>
        <v>19</v>
      </c>
      <c r="I20" s="314" t="e">
        <f t="shared" si="1"/>
        <v>#N/A</v>
      </c>
      <c r="J20" s="325">
        <f>IF(Holidays!C71="Holiday","H","")</f>
      </c>
      <c r="K20" s="204"/>
      <c r="L20" s="205"/>
      <c r="M20" s="289"/>
      <c r="N20" s="203">
        <f t="shared" si="2"/>
        <v>29</v>
      </c>
      <c r="O20" s="314" t="e">
        <f t="shared" si="3"/>
        <v>#N/A</v>
      </c>
      <c r="P20" s="325">
        <f>IF(Holidays!C81="Holiday","H","")</f>
      </c>
      <c r="Q20" s="204"/>
      <c r="R20" s="205"/>
      <c r="S20" s="289"/>
      <c r="T20" s="43"/>
      <c r="U20" s="175"/>
      <c r="AC20" s="95"/>
    </row>
    <row r="21" spans="1:29" ht="15.75" customHeight="1">
      <c r="A21" s="43"/>
      <c r="B21" s="203">
        <f t="shared" si="4"/>
        <v>10</v>
      </c>
      <c r="C21" s="314" t="e">
        <f t="shared" si="5"/>
        <v>#N/A</v>
      </c>
      <c r="D21" s="325">
        <f>IF(Holidays!C62="Holiday","H","")</f>
      </c>
      <c r="E21" s="204"/>
      <c r="F21" s="205"/>
      <c r="G21" s="289"/>
      <c r="H21" s="203">
        <f t="shared" si="0"/>
        <v>20</v>
      </c>
      <c r="I21" s="314" t="e">
        <f t="shared" si="1"/>
        <v>#N/A</v>
      </c>
      <c r="J21" s="325">
        <f>IF(Holidays!C72="Holiday","H","")</f>
      </c>
      <c r="K21" s="204"/>
      <c r="L21" s="205"/>
      <c r="M21" s="289"/>
      <c r="N21" s="203">
        <f t="shared" si="2"/>
        <v>30</v>
      </c>
      <c r="O21" s="314" t="e">
        <f t="shared" si="3"/>
        <v>#N/A</v>
      </c>
      <c r="P21" s="325">
        <f>IF(Holidays!C82="Holiday","H","")</f>
      </c>
      <c r="Q21" s="204"/>
      <c r="R21" s="205"/>
      <c r="S21" s="289"/>
      <c r="T21" s="43"/>
      <c r="U21" s="177"/>
      <c r="V21" s="181"/>
      <c r="AC21" s="95"/>
    </row>
    <row r="22" spans="1:31" ht="15.75" customHeight="1" thickBot="1">
      <c r="A22" s="43"/>
      <c r="B22" s="158"/>
      <c r="C22" s="159"/>
      <c r="D22" s="324"/>
      <c r="E22" s="160">
        <f>SUM(E12:E21)</f>
        <v>0</v>
      </c>
      <c r="F22" s="171">
        <f>(SUM(F12:F21))</f>
        <v>0</v>
      </c>
      <c r="G22" s="290"/>
      <c r="H22" s="158"/>
      <c r="I22" s="159"/>
      <c r="J22" s="324"/>
      <c r="K22" s="160">
        <f>SUM(K12:K21)</f>
        <v>0</v>
      </c>
      <c r="L22" s="171">
        <f>(SUM(L12:L21))</f>
        <v>0</v>
      </c>
      <c r="M22" s="290"/>
      <c r="N22" s="206">
        <f t="shared" si="2"/>
        <v>31</v>
      </c>
      <c r="O22" s="314" t="e">
        <f>IF(N22&lt;=$C$10,O21+1,"  ")</f>
        <v>#N/A</v>
      </c>
      <c r="P22" s="325">
        <f>IF(Holidays!C83="Holiday","H","")</f>
      </c>
      <c r="Q22" s="204"/>
      <c r="R22" s="205"/>
      <c r="S22" s="289"/>
      <c r="T22" s="43"/>
      <c r="U22" s="178"/>
      <c r="Z22" s="344"/>
      <c r="AA22" s="345"/>
      <c r="AB22" s="345"/>
      <c r="AC22" s="95"/>
      <c r="AD22" s="345"/>
      <c r="AE22" s="345"/>
    </row>
    <row r="23" spans="1:31" s="62" customFormat="1" ht="17.25" customHeight="1" thickBot="1">
      <c r="A23" s="153"/>
      <c r="B23" s="153"/>
      <c r="E23" s="165" t="s">
        <v>253</v>
      </c>
      <c r="F23" s="153"/>
      <c r="G23" s="153"/>
      <c r="H23" s="153"/>
      <c r="I23" s="153"/>
      <c r="J23" s="153"/>
      <c r="K23" s="153"/>
      <c r="L23" s="153"/>
      <c r="M23" s="153"/>
      <c r="N23" s="294" t="s">
        <v>203</v>
      </c>
      <c r="O23" s="293" t="s">
        <v>32</v>
      </c>
      <c r="P23" s="293"/>
      <c r="Q23" s="318">
        <f>SUM(Q12:Q22)+E22+K22</f>
        <v>0</v>
      </c>
      <c r="R23" s="319">
        <f>(SUM(R12:R22)+F22+L22)</f>
        <v>0</v>
      </c>
      <c r="S23" s="155"/>
      <c r="T23" s="153"/>
      <c r="U23" s="178"/>
      <c r="V23" s="182"/>
      <c r="W23" s="183"/>
      <c r="X23" s="182"/>
      <c r="Y23" s="182"/>
      <c r="Z23" s="345"/>
      <c r="AA23" s="345"/>
      <c r="AB23" s="345"/>
      <c r="AC23" s="95"/>
      <c r="AD23" s="345"/>
      <c r="AE23" s="345"/>
    </row>
    <row r="24" spans="1:31" ht="10.5" customHeight="1" thickTop="1">
      <c r="A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Q24" s="152"/>
      <c r="R24" s="43"/>
      <c r="S24" s="43"/>
      <c r="T24" s="43"/>
      <c r="U24" s="178"/>
      <c r="Z24" s="345"/>
      <c r="AA24" s="345"/>
      <c r="AB24" s="345"/>
      <c r="AC24" s="95"/>
      <c r="AD24" s="345"/>
      <c r="AE24" s="345"/>
    </row>
    <row r="25" spans="1:31" ht="6" customHeight="1" thickBo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Q25" s="152"/>
      <c r="R25" s="43"/>
      <c r="S25" s="43"/>
      <c r="T25" s="43"/>
      <c r="U25" s="178"/>
      <c r="Z25" s="345"/>
      <c r="AA25" s="345"/>
      <c r="AB25" s="345"/>
      <c r="AC25" s="345"/>
      <c r="AD25" s="345"/>
      <c r="AE25" s="345"/>
    </row>
    <row r="26" spans="1:31" ht="13.5" customHeight="1">
      <c r="A26" s="170"/>
      <c r="B26" s="601" t="s">
        <v>254</v>
      </c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01"/>
      <c r="P26" s="611" t="s">
        <v>294</v>
      </c>
      <c r="Q26" s="612"/>
      <c r="R26" s="612"/>
      <c r="S26" s="613"/>
      <c r="T26" s="43"/>
      <c r="Z26" s="345"/>
      <c r="AA26" s="345"/>
      <c r="AB26" s="345"/>
      <c r="AC26" s="95"/>
      <c r="AD26" s="345"/>
      <c r="AE26" s="345"/>
    </row>
    <row r="27" spans="16:31" ht="12.75">
      <c r="P27" s="594" t="s">
        <v>293</v>
      </c>
      <c r="Q27" s="595"/>
      <c r="R27" s="595"/>
      <c r="S27" s="596"/>
      <c r="T27" s="43"/>
      <c r="Z27" s="345"/>
      <c r="AA27" s="345"/>
      <c r="AB27" s="345"/>
      <c r="AC27" s="95"/>
      <c r="AD27" s="345"/>
      <c r="AE27" s="345"/>
    </row>
    <row r="28" spans="1:31" ht="12.75">
      <c r="A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597"/>
      <c r="Q28" s="595"/>
      <c r="R28" s="595"/>
      <c r="S28" s="596"/>
      <c r="T28" s="43"/>
      <c r="Z28" s="345"/>
      <c r="AA28" s="345"/>
      <c r="AB28" s="345"/>
      <c r="AC28" s="95"/>
      <c r="AD28" s="345"/>
      <c r="AE28" s="345"/>
    </row>
    <row r="29" spans="1:31" ht="13.5" customHeight="1">
      <c r="A29" s="43"/>
      <c r="B29" s="599"/>
      <c r="C29" s="599"/>
      <c r="D29" s="599"/>
      <c r="E29" s="599"/>
      <c r="F29" s="43"/>
      <c r="G29" s="600"/>
      <c r="H29" s="600"/>
      <c r="I29" s="600"/>
      <c r="J29" s="322"/>
      <c r="K29" s="43"/>
      <c r="L29" s="622">
        <f ca="1">TODAY()</f>
        <v>45103</v>
      </c>
      <c r="M29" s="622"/>
      <c r="N29" s="622"/>
      <c r="O29" s="43"/>
      <c r="P29" s="597"/>
      <c r="Q29" s="595"/>
      <c r="R29" s="595"/>
      <c r="S29" s="596"/>
      <c r="T29" s="43"/>
      <c r="Z29" s="345"/>
      <c r="AA29" s="345"/>
      <c r="AB29" s="345"/>
      <c r="AC29" s="95"/>
      <c r="AD29" s="345"/>
      <c r="AE29" s="345"/>
    </row>
    <row r="30" spans="1:31" s="168" customFormat="1" ht="13.5" customHeight="1">
      <c r="A30" s="209"/>
      <c r="B30" s="587" t="s">
        <v>204</v>
      </c>
      <c r="C30" s="587"/>
      <c r="D30" s="587"/>
      <c r="E30" s="587"/>
      <c r="F30" s="292"/>
      <c r="G30" s="328" t="s">
        <v>291</v>
      </c>
      <c r="H30" s="328"/>
      <c r="I30" s="292"/>
      <c r="J30" s="292"/>
      <c r="K30" s="292"/>
      <c r="L30" s="292" t="s">
        <v>8</v>
      </c>
      <c r="M30" s="212"/>
      <c r="N30" s="213"/>
      <c r="O30" s="167"/>
      <c r="P30" s="597"/>
      <c r="Q30" s="595"/>
      <c r="R30" s="595"/>
      <c r="S30" s="596"/>
      <c r="T30" s="167"/>
      <c r="U30" s="184"/>
      <c r="V30" s="184"/>
      <c r="W30" s="184"/>
      <c r="X30" s="184"/>
      <c r="Y30" s="184"/>
      <c r="Z30" s="345"/>
      <c r="AA30" s="345"/>
      <c r="AB30" s="345"/>
      <c r="AC30" s="95"/>
      <c r="AD30" s="345"/>
      <c r="AE30" s="345"/>
    </row>
    <row r="31" spans="1:31" s="166" customFormat="1" ht="5.25" customHeight="1" hidden="1">
      <c r="A31" s="165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5"/>
      <c r="N31" s="216"/>
      <c r="O31" s="165"/>
      <c r="P31" s="614" t="s">
        <v>295</v>
      </c>
      <c r="Q31" s="615"/>
      <c r="R31" s="615"/>
      <c r="S31" s="616"/>
      <c r="T31" s="165"/>
      <c r="U31" s="185"/>
      <c r="V31" s="185"/>
      <c r="W31" s="185"/>
      <c r="X31" s="185"/>
      <c r="Y31" s="185"/>
      <c r="Z31" s="345"/>
      <c r="AA31" s="345"/>
      <c r="AB31" s="345"/>
      <c r="AC31" s="95"/>
      <c r="AD31" s="345"/>
      <c r="AE31" s="345"/>
    </row>
    <row r="32" spans="1:31" ht="15.75">
      <c r="A32" s="4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151"/>
      <c r="O32" s="43"/>
      <c r="P32" s="614"/>
      <c r="Q32" s="615"/>
      <c r="R32" s="615"/>
      <c r="S32" s="616"/>
      <c r="T32" s="43"/>
      <c r="Z32" s="345"/>
      <c r="AA32" s="345"/>
      <c r="AB32" s="345"/>
      <c r="AC32" s="95"/>
      <c r="AD32" s="345"/>
      <c r="AE32" s="345"/>
    </row>
    <row r="33" spans="1:31" ht="15">
      <c r="A33" s="43"/>
      <c r="B33" s="599"/>
      <c r="C33" s="599"/>
      <c r="D33" s="599"/>
      <c r="E33" s="599"/>
      <c r="F33" s="211"/>
      <c r="G33" s="600"/>
      <c r="H33" s="600"/>
      <c r="I33" s="600"/>
      <c r="J33" s="322"/>
      <c r="K33" s="211"/>
      <c r="L33" s="622">
        <f ca="1">TODAY()</f>
        <v>45103</v>
      </c>
      <c r="M33" s="622"/>
      <c r="N33" s="622"/>
      <c r="O33" s="43"/>
      <c r="P33" s="614"/>
      <c r="Q33" s="615"/>
      <c r="R33" s="615"/>
      <c r="S33" s="616"/>
      <c r="T33" s="43"/>
      <c r="Z33" s="345"/>
      <c r="AA33" s="345"/>
      <c r="AB33" s="345"/>
      <c r="AC33" s="345"/>
      <c r="AD33" s="345"/>
      <c r="AE33" s="345"/>
    </row>
    <row r="34" spans="1:31" ht="13.5" customHeight="1">
      <c r="A34" s="167"/>
      <c r="B34" s="587" t="s">
        <v>205</v>
      </c>
      <c r="C34" s="587"/>
      <c r="D34" s="587"/>
      <c r="E34" s="587"/>
      <c r="F34" s="291"/>
      <c r="G34" s="328" t="s">
        <v>292</v>
      </c>
      <c r="H34" s="328"/>
      <c r="I34" s="292"/>
      <c r="J34" s="292"/>
      <c r="K34" s="292"/>
      <c r="L34" s="292" t="s">
        <v>8</v>
      </c>
      <c r="M34" s="210"/>
      <c r="N34" s="212"/>
      <c r="O34" s="209"/>
      <c r="P34" s="614"/>
      <c r="Q34" s="615"/>
      <c r="R34" s="615"/>
      <c r="S34" s="616"/>
      <c r="T34" s="43"/>
      <c r="Z34" s="345"/>
      <c r="AA34" s="345"/>
      <c r="AB34" s="345"/>
      <c r="AC34" s="345"/>
      <c r="AD34" s="345"/>
      <c r="AE34" s="345"/>
    </row>
    <row r="35" spans="1:20" ht="17.25">
      <c r="A35" s="43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54"/>
      <c r="O35" s="43"/>
      <c r="P35" s="614"/>
      <c r="Q35" s="615"/>
      <c r="R35" s="615"/>
      <c r="S35" s="616"/>
      <c r="T35" s="43"/>
    </row>
    <row r="36" spans="1:20" ht="12.75">
      <c r="A36" s="591"/>
      <c r="B36" s="591"/>
      <c r="C36" s="591"/>
      <c r="D36" s="591"/>
      <c r="E36" s="591"/>
      <c r="F36" s="591"/>
      <c r="G36" s="591"/>
      <c r="H36" s="591"/>
      <c r="I36" s="591"/>
      <c r="J36" s="591"/>
      <c r="K36" s="591"/>
      <c r="L36" s="591"/>
      <c r="M36" s="591"/>
      <c r="N36" s="591"/>
      <c r="O36" s="621"/>
      <c r="P36" s="614"/>
      <c r="Q36" s="615"/>
      <c r="R36" s="615"/>
      <c r="S36" s="616"/>
      <c r="T36" s="43"/>
    </row>
    <row r="37" spans="1:20" ht="13.5" customHeight="1" thickBot="1">
      <c r="A37" s="16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617"/>
      <c r="Q37" s="618"/>
      <c r="R37" s="618"/>
      <c r="S37" s="619"/>
      <c r="T37" s="43"/>
    </row>
    <row r="38" spans="1:27" s="72" customFormat="1" ht="68.25" customHeight="1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323"/>
      <c r="Q38" s="173"/>
      <c r="R38" s="173"/>
      <c r="S38" s="173"/>
      <c r="T38" s="172"/>
      <c r="U38" s="186"/>
      <c r="V38" s="186"/>
      <c r="W38" s="186"/>
      <c r="X38" s="186"/>
      <c r="Y38" s="186"/>
      <c r="Z38" s="186"/>
      <c r="AA38" s="186"/>
    </row>
    <row r="39" spans="1:20" ht="13.5" customHeight="1">
      <c r="A39" s="620" t="s">
        <v>421</v>
      </c>
      <c r="B39" s="620"/>
      <c r="C39" s="620"/>
      <c r="D39" s="620"/>
      <c r="E39" s="620"/>
      <c r="F39" s="620"/>
      <c r="G39" s="620"/>
      <c r="H39" s="620"/>
      <c r="I39" s="620"/>
      <c r="J39" s="620"/>
      <c r="K39" s="620"/>
      <c r="L39" s="620"/>
      <c r="M39" s="620"/>
      <c r="N39" s="620"/>
      <c r="O39" s="620"/>
      <c r="P39" s="620"/>
      <c r="Q39" s="620"/>
      <c r="R39" s="620"/>
      <c r="S39" s="620"/>
      <c r="T39" s="163"/>
    </row>
    <row r="40" spans="1:20" ht="5.25" customHeight="1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</row>
    <row r="41" spans="1:20" ht="12.75">
      <c r="A41" s="43"/>
      <c r="B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Q41" s="43"/>
      <c r="R41" s="43"/>
      <c r="S41" s="43"/>
      <c r="T41" s="43"/>
    </row>
    <row r="42" spans="1:20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Q42" s="43"/>
      <c r="R42" s="43"/>
      <c r="S42" s="43"/>
      <c r="T42" s="43"/>
    </row>
    <row r="44" spans="3:4" ht="12.75">
      <c r="C44" s="7"/>
      <c r="D44" s="7"/>
    </row>
  </sheetData>
  <sheetProtection password="E508" sheet="1" objects="1" scenarios="1" selectLockedCells="1"/>
  <mergeCells count="27">
    <mergeCell ref="P31:S37"/>
    <mergeCell ref="A39:S39"/>
    <mergeCell ref="A36:O36"/>
    <mergeCell ref="L29:N29"/>
    <mergeCell ref="B33:E33"/>
    <mergeCell ref="G33:I33"/>
    <mergeCell ref="L33:N33"/>
    <mergeCell ref="V1:Z1"/>
    <mergeCell ref="B29:E29"/>
    <mergeCell ref="G29:I29"/>
    <mergeCell ref="B26:O26"/>
    <mergeCell ref="E10:G10"/>
    <mergeCell ref="F5:N5"/>
    <mergeCell ref="A1:Q1"/>
    <mergeCell ref="A3:S3"/>
    <mergeCell ref="R4:S5"/>
    <mergeCell ref="P26:S26"/>
    <mergeCell ref="I10:K10"/>
    <mergeCell ref="E8:I8"/>
    <mergeCell ref="A2:S2"/>
    <mergeCell ref="B34:E34"/>
    <mergeCell ref="B30:E30"/>
    <mergeCell ref="L8:M8"/>
    <mergeCell ref="H11:I11"/>
    <mergeCell ref="F6:N6"/>
    <mergeCell ref="R6:S6"/>
    <mergeCell ref="P27:S30"/>
  </mergeCells>
  <dataValidations count="2">
    <dataValidation type="list" allowBlank="1" showInputMessage="1" showErrorMessage="1" sqref="R4:S5">
      <formula1>Month</formula1>
    </dataValidation>
    <dataValidation type="list" allowBlank="1" showInputMessage="1" showErrorMessage="1" promptTitle="Select Code from Dropdown Menu" prompt="A =&gt; Annual&#10;S =&gt; Sick&#10;U =&gt; Unscheduled&#10;H =&gt; Holiday&#10;JD =&gt; Jury Duty&#10;BL =&gt; Bereavement&#10;ML =&gt; Military&#10;LWOP =&gt; Leave WO Pay&#10;FMLA =&gt; Family Med-AL&#10;FMLS =&gt; Family Med- Sick&#10;SE =&gt; Snow Emergency" sqref="G12:G21 M12:M21 S12:S22">
      <formula1>ECPLeave</formula1>
    </dataValidation>
  </dataValidations>
  <printOptions/>
  <pageMargins left="0.35" right="0.35" top="0.5" bottom="0.5" header="0.3" footer="0.3"/>
  <pageSetup fitToHeight="0" fitToWidth="1" horizontalDpi="600" verticalDpi="600" orientation="landscape" scale="88" r:id="rId4"/>
  <ignoredErrors>
    <ignoredError sqref="C13" evalError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86"/>
  <sheetViews>
    <sheetView zoomScalePageLayoutView="0" workbookViewId="0" topLeftCell="A37">
      <selection activeCell="D1" sqref="D1"/>
    </sheetView>
  </sheetViews>
  <sheetFormatPr defaultColWidth="9.140625" defaultRowHeight="12.75"/>
  <cols>
    <col min="1" max="1" width="16.140625" style="0" customWidth="1"/>
    <col min="8" max="8" width="23.8515625" style="0" customWidth="1"/>
  </cols>
  <sheetData>
    <row r="1" spans="1:5" ht="12.75">
      <c r="A1" s="45" t="s">
        <v>109</v>
      </c>
      <c r="B1" s="45" t="s">
        <v>110</v>
      </c>
      <c r="E1" s="7"/>
    </row>
    <row r="2" spans="1:2" ht="12.75">
      <c r="A2" s="58" t="s">
        <v>172</v>
      </c>
      <c r="B2" s="59"/>
    </row>
    <row r="3" spans="1:5" ht="12.75">
      <c r="A3" s="46">
        <v>44562</v>
      </c>
      <c r="B3" s="47">
        <f aca="true" t="shared" si="0" ref="B3:B19">DAY(DATE(YEAR(A3),MONTH(A3)+1,1)-1)</f>
        <v>31</v>
      </c>
      <c r="E3" s="7" t="s">
        <v>536</v>
      </c>
    </row>
    <row r="4" spans="1:5" ht="12.75">
      <c r="A4" s="46">
        <v>44593</v>
      </c>
      <c r="B4" s="47">
        <f t="shared" si="0"/>
        <v>28</v>
      </c>
      <c r="E4" s="7" t="s">
        <v>537</v>
      </c>
    </row>
    <row r="5" spans="1:2" ht="12.75">
      <c r="A5" s="46">
        <v>44621</v>
      </c>
      <c r="B5" s="47">
        <f t="shared" si="0"/>
        <v>31</v>
      </c>
    </row>
    <row r="6" spans="1:2" ht="12.75">
      <c r="A6" s="46">
        <v>44652</v>
      </c>
      <c r="B6" s="47">
        <f t="shared" si="0"/>
        <v>30</v>
      </c>
    </row>
    <row r="7" spans="1:2" ht="12.75">
      <c r="A7" s="46">
        <v>44682</v>
      </c>
      <c r="B7" s="47">
        <f t="shared" si="0"/>
        <v>31</v>
      </c>
    </row>
    <row r="8" spans="1:2" ht="12.75">
      <c r="A8" s="46">
        <v>44713</v>
      </c>
      <c r="B8" s="47">
        <f t="shared" si="0"/>
        <v>30</v>
      </c>
    </row>
    <row r="9" spans="1:5" ht="12.75">
      <c r="A9" s="46">
        <v>44743</v>
      </c>
      <c r="B9" s="47">
        <f t="shared" si="0"/>
        <v>31</v>
      </c>
      <c r="E9" s="568"/>
    </row>
    <row r="10" spans="1:3" ht="12.75">
      <c r="A10" s="46">
        <v>44774</v>
      </c>
      <c r="B10" s="47">
        <f t="shared" si="0"/>
        <v>31</v>
      </c>
      <c r="C10" s="451"/>
    </row>
    <row r="11" spans="1:2" ht="12.75">
      <c r="A11" s="46">
        <v>44805</v>
      </c>
      <c r="B11" s="47">
        <f t="shared" si="0"/>
        <v>30</v>
      </c>
    </row>
    <row r="12" spans="1:2" ht="12.75">
      <c r="A12" s="46">
        <v>44835</v>
      </c>
      <c r="B12" s="47">
        <f t="shared" si="0"/>
        <v>31</v>
      </c>
    </row>
    <row r="13" spans="1:2" ht="12.75">
      <c r="A13" s="46">
        <v>44866</v>
      </c>
      <c r="B13" s="47">
        <f t="shared" si="0"/>
        <v>30</v>
      </c>
    </row>
    <row r="14" spans="1:2" ht="12.75">
      <c r="A14" s="46">
        <v>44896</v>
      </c>
      <c r="B14" s="47">
        <f t="shared" si="0"/>
        <v>31</v>
      </c>
    </row>
    <row r="15" spans="1:2" ht="12.75">
      <c r="A15" s="46">
        <v>44927</v>
      </c>
      <c r="B15" s="47">
        <f t="shared" si="0"/>
        <v>31</v>
      </c>
    </row>
    <row r="16" spans="1:2" ht="12.75">
      <c r="A16" s="46">
        <v>44958</v>
      </c>
      <c r="B16" s="47">
        <f t="shared" si="0"/>
        <v>28</v>
      </c>
    </row>
    <row r="17" spans="1:2" ht="12.75">
      <c r="A17" s="46">
        <v>44986</v>
      </c>
      <c r="B17" s="47">
        <f t="shared" si="0"/>
        <v>31</v>
      </c>
    </row>
    <row r="18" spans="1:2" ht="12.75">
      <c r="A18" s="46">
        <v>45017</v>
      </c>
      <c r="B18" s="47">
        <f t="shared" si="0"/>
        <v>30</v>
      </c>
    </row>
    <row r="19" spans="1:2" ht="12.75">
      <c r="A19" s="46">
        <v>45047</v>
      </c>
      <c r="B19" s="47">
        <f t="shared" si="0"/>
        <v>31</v>
      </c>
    </row>
    <row r="20" spans="1:2" ht="12.75">
      <c r="A20" s="46">
        <v>45078</v>
      </c>
      <c r="B20" s="47">
        <f aca="true" t="shared" si="1" ref="B20:B38">DAY(DATE(YEAR(A20),MONTH(A20)+1,1)-1)</f>
        <v>30</v>
      </c>
    </row>
    <row r="21" spans="1:2" ht="12.75">
      <c r="A21" s="46">
        <v>45108</v>
      </c>
      <c r="B21" s="47">
        <f t="shared" si="1"/>
        <v>31</v>
      </c>
    </row>
    <row r="22" spans="1:2" ht="12.75">
      <c r="A22" s="46">
        <v>45139</v>
      </c>
      <c r="B22" s="47">
        <f t="shared" si="1"/>
        <v>31</v>
      </c>
    </row>
    <row r="23" spans="1:2" ht="12.75">
      <c r="A23" s="46">
        <v>45170</v>
      </c>
      <c r="B23" s="47">
        <f t="shared" si="1"/>
        <v>30</v>
      </c>
    </row>
    <row r="24" spans="1:2" ht="12.75">
      <c r="A24" s="46">
        <v>45200</v>
      </c>
      <c r="B24" s="47">
        <f t="shared" si="1"/>
        <v>31</v>
      </c>
    </row>
    <row r="25" spans="1:2" ht="12.75">
      <c r="A25" s="46">
        <v>45231</v>
      </c>
      <c r="B25" s="47">
        <f t="shared" si="1"/>
        <v>30</v>
      </c>
    </row>
    <row r="26" spans="1:2" ht="12.75">
      <c r="A26" s="46">
        <v>45261</v>
      </c>
      <c r="B26" s="47">
        <f t="shared" si="1"/>
        <v>31</v>
      </c>
    </row>
    <row r="27" spans="1:2" ht="12.75">
      <c r="A27" s="46">
        <v>45292</v>
      </c>
      <c r="B27" s="47">
        <f t="shared" si="1"/>
        <v>31</v>
      </c>
    </row>
    <row r="28" spans="1:2" ht="12.75">
      <c r="A28" s="46">
        <v>45323</v>
      </c>
      <c r="B28" s="47">
        <f t="shared" si="1"/>
        <v>29</v>
      </c>
    </row>
    <row r="29" spans="1:2" ht="12.75">
      <c r="A29" s="46">
        <v>45352</v>
      </c>
      <c r="B29" s="47">
        <f t="shared" si="1"/>
        <v>31</v>
      </c>
    </row>
    <row r="30" spans="1:2" ht="12.75">
      <c r="A30" s="46">
        <v>45383</v>
      </c>
      <c r="B30" s="47">
        <f t="shared" si="1"/>
        <v>30</v>
      </c>
    </row>
    <row r="31" spans="1:2" ht="12.75">
      <c r="A31" s="46">
        <v>45413</v>
      </c>
      <c r="B31" s="47">
        <f t="shared" si="1"/>
        <v>31</v>
      </c>
    </row>
    <row r="32" spans="1:2" ht="12.75">
      <c r="A32" s="46">
        <v>45444</v>
      </c>
      <c r="B32" s="47">
        <f t="shared" si="1"/>
        <v>30</v>
      </c>
    </row>
    <row r="33" spans="1:2" ht="12.75">
      <c r="A33" s="46">
        <v>45474</v>
      </c>
      <c r="B33" s="47">
        <f t="shared" si="1"/>
        <v>31</v>
      </c>
    </row>
    <row r="34" spans="1:2" ht="12.75">
      <c r="A34" s="46">
        <v>45505</v>
      </c>
      <c r="B34" s="47">
        <f t="shared" si="1"/>
        <v>31</v>
      </c>
    </row>
    <row r="35" spans="1:2" ht="12.75">
      <c r="A35" s="46">
        <v>45536</v>
      </c>
      <c r="B35" s="47">
        <f t="shared" si="1"/>
        <v>30</v>
      </c>
    </row>
    <row r="36" spans="1:2" ht="12.75">
      <c r="A36" s="46">
        <v>45566</v>
      </c>
      <c r="B36" s="47">
        <f t="shared" si="1"/>
        <v>31</v>
      </c>
    </row>
    <row r="37" spans="1:2" ht="12.75">
      <c r="A37" s="46">
        <v>45597</v>
      </c>
      <c r="B37" s="47">
        <f t="shared" si="1"/>
        <v>30</v>
      </c>
    </row>
    <row r="38" spans="1:2" ht="12.75">
      <c r="A38" s="46">
        <v>45627</v>
      </c>
      <c r="B38" s="47">
        <f t="shared" si="1"/>
        <v>31</v>
      </c>
    </row>
    <row r="39" spans="1:2" ht="12.75">
      <c r="A39" s="46">
        <v>45658</v>
      </c>
      <c r="B39" s="47">
        <f aca="true" t="shared" si="2" ref="B39:B62">DAY(DATE(YEAR(A39),MONTH(A39)+1,1)-1)</f>
        <v>31</v>
      </c>
    </row>
    <row r="40" spans="1:2" ht="12.75">
      <c r="A40" s="46">
        <v>45689</v>
      </c>
      <c r="B40" s="47">
        <f t="shared" si="2"/>
        <v>28</v>
      </c>
    </row>
    <row r="41" spans="1:2" ht="12.75">
      <c r="A41" s="46">
        <v>45717</v>
      </c>
      <c r="B41" s="47">
        <f t="shared" si="2"/>
        <v>31</v>
      </c>
    </row>
    <row r="42" spans="1:2" ht="12.75">
      <c r="A42" s="46">
        <v>45748</v>
      </c>
      <c r="B42" s="47">
        <f t="shared" si="2"/>
        <v>30</v>
      </c>
    </row>
    <row r="43" spans="1:2" ht="12.75">
      <c r="A43" s="46">
        <v>45778</v>
      </c>
      <c r="B43" s="47">
        <f t="shared" si="2"/>
        <v>31</v>
      </c>
    </row>
    <row r="44" spans="1:2" ht="12.75">
      <c r="A44" s="46">
        <v>45809</v>
      </c>
      <c r="B44" s="47">
        <f t="shared" si="2"/>
        <v>30</v>
      </c>
    </row>
    <row r="45" spans="1:2" ht="12.75">
      <c r="A45" s="46">
        <v>45839</v>
      </c>
      <c r="B45" s="47">
        <f t="shared" si="2"/>
        <v>31</v>
      </c>
    </row>
    <row r="46" spans="1:2" ht="12.75">
      <c r="A46" s="46">
        <v>45870</v>
      </c>
      <c r="B46" s="47">
        <f t="shared" si="2"/>
        <v>31</v>
      </c>
    </row>
    <row r="47" spans="1:2" ht="12.75">
      <c r="A47" s="46">
        <v>45901</v>
      </c>
      <c r="B47" s="47">
        <f t="shared" si="2"/>
        <v>30</v>
      </c>
    </row>
    <row r="48" spans="1:2" ht="12.75">
      <c r="A48" s="46">
        <v>45931</v>
      </c>
      <c r="B48" s="47">
        <f t="shared" si="2"/>
        <v>31</v>
      </c>
    </row>
    <row r="49" spans="1:2" ht="12.75">
      <c r="A49" s="46">
        <v>45962</v>
      </c>
      <c r="B49" s="47">
        <f t="shared" si="2"/>
        <v>30</v>
      </c>
    </row>
    <row r="50" spans="1:2" ht="12.75">
      <c r="A50" s="46">
        <v>45992</v>
      </c>
      <c r="B50" s="47">
        <f t="shared" si="2"/>
        <v>31</v>
      </c>
    </row>
    <row r="51" spans="1:2" ht="12.75">
      <c r="A51" s="46">
        <v>46023</v>
      </c>
      <c r="B51" s="47">
        <f t="shared" si="2"/>
        <v>31</v>
      </c>
    </row>
    <row r="52" spans="1:2" ht="12.75">
      <c r="A52" s="46">
        <v>46054</v>
      </c>
      <c r="B52" s="47">
        <f t="shared" si="2"/>
        <v>28</v>
      </c>
    </row>
    <row r="53" spans="1:2" ht="12.75">
      <c r="A53" s="46">
        <v>46082</v>
      </c>
      <c r="B53" s="47">
        <f t="shared" si="2"/>
        <v>31</v>
      </c>
    </row>
    <row r="54" spans="1:2" ht="12.75">
      <c r="A54" s="46">
        <v>46113</v>
      </c>
      <c r="B54" s="47">
        <f t="shared" si="2"/>
        <v>30</v>
      </c>
    </row>
    <row r="55" spans="1:2" ht="12.75">
      <c r="A55" s="46">
        <v>46143</v>
      </c>
      <c r="B55" s="47">
        <f t="shared" si="2"/>
        <v>31</v>
      </c>
    </row>
    <row r="56" spans="1:2" ht="12.75">
      <c r="A56" s="46">
        <v>46174</v>
      </c>
      <c r="B56" s="47">
        <f t="shared" si="2"/>
        <v>30</v>
      </c>
    </row>
    <row r="57" spans="1:2" ht="12.75">
      <c r="A57" s="46">
        <v>46204</v>
      </c>
      <c r="B57" s="47">
        <f t="shared" si="2"/>
        <v>31</v>
      </c>
    </row>
    <row r="58" spans="1:2" ht="12.75">
      <c r="A58" s="46">
        <v>46235</v>
      </c>
      <c r="B58" s="47">
        <f t="shared" si="2"/>
        <v>31</v>
      </c>
    </row>
    <row r="59" spans="1:2" ht="12.75">
      <c r="A59" s="46">
        <v>46266</v>
      </c>
      <c r="B59" s="47">
        <f t="shared" si="2"/>
        <v>30</v>
      </c>
    </row>
    <row r="60" spans="1:2" ht="12.75">
      <c r="A60" s="46">
        <v>46296</v>
      </c>
      <c r="B60" s="47">
        <f t="shared" si="2"/>
        <v>31</v>
      </c>
    </row>
    <row r="61" spans="1:2" ht="12.75">
      <c r="A61" s="46">
        <v>46327</v>
      </c>
      <c r="B61" s="47">
        <f t="shared" si="2"/>
        <v>30</v>
      </c>
    </row>
    <row r="62" spans="1:2" ht="12.75">
      <c r="A62" s="46">
        <v>46357</v>
      </c>
      <c r="B62" s="47">
        <f t="shared" si="2"/>
        <v>31</v>
      </c>
    </row>
    <row r="63" spans="1:2" ht="12.75">
      <c r="A63" s="46">
        <v>46388</v>
      </c>
      <c r="B63" s="47">
        <f aca="true" t="shared" si="3" ref="B63:B74">DAY(DATE(YEAR(A63),MONTH(A63)+1,1)-1)</f>
        <v>31</v>
      </c>
    </row>
    <row r="64" spans="1:2" ht="12.75">
      <c r="A64" s="46">
        <v>46419</v>
      </c>
      <c r="B64" s="47">
        <f t="shared" si="3"/>
        <v>28</v>
      </c>
    </row>
    <row r="65" spans="1:2" ht="12.75">
      <c r="A65" s="46">
        <v>46447</v>
      </c>
      <c r="B65" s="47">
        <f t="shared" si="3"/>
        <v>31</v>
      </c>
    </row>
    <row r="66" spans="1:2" ht="12.75">
      <c r="A66" s="46">
        <v>46478</v>
      </c>
      <c r="B66" s="47">
        <f t="shared" si="3"/>
        <v>30</v>
      </c>
    </row>
    <row r="67" spans="1:2" ht="12.75">
      <c r="A67" s="46">
        <v>46508</v>
      </c>
      <c r="B67" s="47">
        <f t="shared" si="3"/>
        <v>31</v>
      </c>
    </row>
    <row r="68" spans="1:2" ht="12.75">
      <c r="A68" s="46">
        <v>46539</v>
      </c>
      <c r="B68" s="47">
        <f t="shared" si="3"/>
        <v>30</v>
      </c>
    </row>
    <row r="69" spans="1:2" ht="12.75">
      <c r="A69" s="46">
        <v>46569</v>
      </c>
      <c r="B69" s="47">
        <f t="shared" si="3"/>
        <v>31</v>
      </c>
    </row>
    <row r="70" spans="1:2" ht="12.75">
      <c r="A70" s="46">
        <v>46600</v>
      </c>
      <c r="B70" s="47">
        <f t="shared" si="3"/>
        <v>31</v>
      </c>
    </row>
    <row r="71" spans="1:2" ht="12.75">
      <c r="A71" s="46">
        <v>46631</v>
      </c>
      <c r="B71" s="47">
        <f t="shared" si="3"/>
        <v>30</v>
      </c>
    </row>
    <row r="72" spans="1:2" ht="12.75">
      <c r="A72" s="46">
        <v>46661</v>
      </c>
      <c r="B72" s="47">
        <f t="shared" si="3"/>
        <v>31</v>
      </c>
    </row>
    <row r="73" spans="1:2" ht="12.75">
      <c r="A73" s="46">
        <v>46692</v>
      </c>
      <c r="B73" s="47">
        <f t="shared" si="3"/>
        <v>30</v>
      </c>
    </row>
    <row r="74" spans="1:2" ht="12.75">
      <c r="A74" s="46">
        <v>46722</v>
      </c>
      <c r="B74" s="47">
        <f t="shared" si="3"/>
        <v>31</v>
      </c>
    </row>
    <row r="75" spans="1:2" ht="12.75">
      <c r="A75" s="46">
        <v>46753</v>
      </c>
      <c r="B75" s="47">
        <f aca="true" t="shared" si="4" ref="B75:B86">DAY(DATE(YEAR(A75),MONTH(A75)+1,1)-1)</f>
        <v>31</v>
      </c>
    </row>
    <row r="76" spans="1:2" ht="12.75">
      <c r="A76" s="46">
        <v>46784</v>
      </c>
      <c r="B76" s="47">
        <f t="shared" si="4"/>
        <v>29</v>
      </c>
    </row>
    <row r="77" spans="1:2" ht="12.75">
      <c r="A77" s="46">
        <v>46813</v>
      </c>
      <c r="B77" s="47">
        <f t="shared" si="4"/>
        <v>31</v>
      </c>
    </row>
    <row r="78" spans="1:2" ht="12.75">
      <c r="A78" s="46">
        <v>46844</v>
      </c>
      <c r="B78" s="47">
        <f t="shared" si="4"/>
        <v>30</v>
      </c>
    </row>
    <row r="79" spans="1:2" ht="12.75">
      <c r="A79" s="46">
        <v>46874</v>
      </c>
      <c r="B79" s="47">
        <f t="shared" si="4"/>
        <v>31</v>
      </c>
    </row>
    <row r="80" spans="1:2" ht="12.75">
      <c r="A80" s="46">
        <v>46905</v>
      </c>
      <c r="B80" s="47">
        <f t="shared" si="4"/>
        <v>30</v>
      </c>
    </row>
    <row r="81" spans="1:2" ht="12.75">
      <c r="A81" s="46">
        <v>46935</v>
      </c>
      <c r="B81" s="47">
        <f t="shared" si="4"/>
        <v>31</v>
      </c>
    </row>
    <row r="82" spans="1:2" ht="12.75">
      <c r="A82" s="46">
        <v>46966</v>
      </c>
      <c r="B82" s="47">
        <f t="shared" si="4"/>
        <v>31</v>
      </c>
    </row>
    <row r="83" spans="1:2" ht="12.75">
      <c r="A83" s="46">
        <v>46997</v>
      </c>
      <c r="B83" s="47">
        <f t="shared" si="4"/>
        <v>30</v>
      </c>
    </row>
    <row r="84" spans="1:2" ht="12.75">
      <c r="A84" s="46">
        <v>47027</v>
      </c>
      <c r="B84" s="47">
        <f t="shared" si="4"/>
        <v>31</v>
      </c>
    </row>
    <row r="85" spans="1:2" ht="12.75">
      <c r="A85" s="46">
        <v>47058</v>
      </c>
      <c r="B85" s="47">
        <f t="shared" si="4"/>
        <v>30</v>
      </c>
    </row>
    <row r="86" spans="1:2" ht="12.75">
      <c r="A86" s="46">
        <v>47088</v>
      </c>
      <c r="B86" s="47">
        <f t="shared" si="4"/>
        <v>31</v>
      </c>
    </row>
  </sheetData>
  <sheetProtection password="E508" sheet="1" objects="1" scenarios="1" selectLockedCells="1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theme="0" tint="-0.1499900072813034"/>
    <pageSetUpPr fitToPage="1"/>
  </sheetPr>
  <dimension ref="A1:AC59"/>
  <sheetViews>
    <sheetView showGridLines="0" showZeros="0" zoomScale="85" zoomScaleNormal="85" zoomScalePageLayoutView="0" workbookViewId="0" topLeftCell="A1">
      <selection activeCell="K6" sqref="K6:O6"/>
    </sheetView>
  </sheetViews>
  <sheetFormatPr defaultColWidth="9.140625" defaultRowHeight="12.75"/>
  <cols>
    <col min="1" max="1" width="15.28125" style="193" customWidth="1"/>
    <col min="2" max="2" width="11.28125" style="193" customWidth="1"/>
    <col min="3" max="3" width="10.7109375" style="193" customWidth="1"/>
    <col min="4" max="4" width="11.140625" style="193" customWidth="1"/>
    <col min="5" max="5" width="11.28125" style="193" customWidth="1"/>
    <col min="6" max="6" width="10.7109375" style="193" customWidth="1"/>
    <col min="7" max="7" width="9.7109375" style="193" customWidth="1"/>
    <col min="8" max="8" width="7.00390625" style="193" bestFit="1" customWidth="1"/>
    <col min="9" max="9" width="9.140625" style="193" customWidth="1"/>
    <col min="10" max="10" width="8.8515625" style="193" customWidth="1"/>
    <col min="11" max="11" width="9.8515625" style="193" customWidth="1"/>
    <col min="12" max="12" width="9.140625" style="193" bestFit="1" customWidth="1"/>
    <col min="13" max="13" width="8.28125" style="193" customWidth="1"/>
    <col min="14" max="14" width="15.00390625" style="193" customWidth="1"/>
    <col min="15" max="15" width="6.00390625" style="193" customWidth="1"/>
    <col min="16" max="16" width="1.28515625" style="193" customWidth="1"/>
    <col min="17" max="17" width="4.7109375" style="343" customWidth="1"/>
    <col min="18" max="18" width="10.8515625" style="193" customWidth="1"/>
    <col min="19" max="19" width="1.8515625" style="193" customWidth="1"/>
    <col min="20" max="20" width="12.57421875" style="193" customWidth="1"/>
    <col min="21" max="21" width="13.421875" style="193" customWidth="1"/>
    <col min="22" max="22" width="12.7109375" style="193" customWidth="1"/>
    <col min="23" max="23" width="13.00390625" style="193" customWidth="1"/>
    <col min="24" max="24" width="5.00390625" style="193" customWidth="1"/>
    <col min="25" max="25" width="13.421875" style="193" customWidth="1"/>
    <col min="26" max="26" width="13.28125" style="193" customWidth="1"/>
    <col min="27" max="16384" width="9.140625" style="193" customWidth="1"/>
  </cols>
  <sheetData>
    <row r="1" spans="1:26" ht="33" customHeight="1" thickBot="1">
      <c r="A1" s="218"/>
      <c r="B1" s="218"/>
      <c r="C1" s="218"/>
      <c r="D1" s="218"/>
      <c r="E1" s="218"/>
      <c r="F1" s="433"/>
      <c r="G1" s="698"/>
      <c r="H1" s="698"/>
      <c r="I1" s="691" t="s">
        <v>319</v>
      </c>
      <c r="J1" s="691"/>
      <c r="K1" s="691"/>
      <c r="L1" s="691"/>
      <c r="M1" s="691"/>
      <c r="N1" s="691"/>
      <c r="O1" s="691"/>
      <c r="P1" s="432"/>
      <c r="Q1" s="671" t="s">
        <v>315</v>
      </c>
      <c r="R1" s="669"/>
      <c r="S1" s="669"/>
      <c r="T1" s="669"/>
      <c r="U1" s="669"/>
      <c r="V1" s="669"/>
      <c r="W1" s="669"/>
      <c r="X1" s="394"/>
      <c r="Y1" s="394"/>
      <c r="Z1" s="394"/>
    </row>
    <row r="2" spans="1:29" s="288" customFormat="1" ht="80.25" customHeight="1">
      <c r="A2" s="710" t="s">
        <v>413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399"/>
      <c r="Q2" s="435"/>
      <c r="R2" s="672" t="s">
        <v>521</v>
      </c>
      <c r="S2" s="672"/>
      <c r="T2" s="672"/>
      <c r="U2" s="672"/>
      <c r="V2" s="672"/>
      <c r="W2" s="672"/>
      <c r="X2" s="394"/>
      <c r="Y2" s="394"/>
      <c r="Z2" s="394"/>
      <c r="AA2" s="394"/>
      <c r="AB2" s="395"/>
      <c r="AC2" s="395"/>
    </row>
    <row r="3" spans="1:29" ht="23.25" customHeight="1" thickBot="1">
      <c r="A3" s="633" t="s">
        <v>430</v>
      </c>
      <c r="B3" s="634"/>
      <c r="C3" s="634"/>
      <c r="D3" s="634"/>
      <c r="E3" s="635"/>
      <c r="F3" s="218"/>
      <c r="G3" s="695" t="s">
        <v>335</v>
      </c>
      <c r="H3" s="695"/>
      <c r="I3" s="692"/>
      <c r="J3" s="692"/>
      <c r="K3" s="692"/>
      <c r="L3" s="692"/>
      <c r="M3" s="692"/>
      <c r="N3" s="692"/>
      <c r="O3" s="692"/>
      <c r="P3" s="218"/>
      <c r="Q3" s="436"/>
      <c r="R3" s="677"/>
      <c r="S3" s="678"/>
      <c r="T3" s="678"/>
      <c r="U3" s="678"/>
      <c r="V3" s="678"/>
      <c r="W3" s="349"/>
      <c r="X3" s="135"/>
      <c r="Y3" s="135"/>
      <c r="Z3" s="135"/>
      <c r="AA3" s="135"/>
      <c r="AB3" s="135"/>
      <c r="AC3" s="135"/>
    </row>
    <row r="4" spans="1:28" ht="24.75" customHeight="1" thickBot="1">
      <c r="A4" s="636"/>
      <c r="B4" s="637"/>
      <c r="C4" s="637"/>
      <c r="D4" s="637"/>
      <c r="E4" s="638"/>
      <c r="G4" s="696" t="s">
        <v>429</v>
      </c>
      <c r="H4" s="696"/>
      <c r="I4" s="693" t="s">
        <v>161</v>
      </c>
      <c r="J4" s="693"/>
      <c r="K4" s="693"/>
      <c r="L4" s="693"/>
      <c r="M4" s="693"/>
      <c r="N4" s="693"/>
      <c r="O4" s="693"/>
      <c r="P4" s="343"/>
      <c r="Q4" s="675" t="s">
        <v>314</v>
      </c>
      <c r="R4" s="676"/>
      <c r="S4" s="676"/>
      <c r="T4" s="676"/>
      <c r="U4" s="676"/>
      <c r="V4" s="343"/>
      <c r="W4" s="349"/>
      <c r="X4" s="135"/>
      <c r="Y4" s="135"/>
      <c r="Z4" s="135"/>
      <c r="AA4" s="135"/>
      <c r="AB4" s="135"/>
    </row>
    <row r="5" spans="1:29" ht="15.75" customHeight="1">
      <c r="A5" s="636"/>
      <c r="B5" s="637"/>
      <c r="C5" s="637"/>
      <c r="D5" s="637"/>
      <c r="E5" s="638"/>
      <c r="F5" s="221"/>
      <c r="G5" s="221"/>
      <c r="H5" s="221"/>
      <c r="I5" s="220" t="s">
        <v>32</v>
      </c>
      <c r="J5" s="332" t="s">
        <v>410</v>
      </c>
      <c r="K5" s="332"/>
      <c r="L5" s="332"/>
      <c r="M5" s="332"/>
      <c r="N5" s="332"/>
      <c r="O5" s="332"/>
      <c r="P5" s="332"/>
      <c r="Q5" s="437"/>
      <c r="R5" s="341"/>
      <c r="S5" s="341"/>
      <c r="T5" s="341"/>
      <c r="U5" s="343"/>
      <c r="V5" s="343"/>
      <c r="W5" s="343"/>
      <c r="X5" s="135"/>
      <c r="Y5" s="669"/>
      <c r="Z5" s="670"/>
      <c r="AA5" s="670"/>
      <c r="AB5" s="670"/>
      <c r="AC5" s="670"/>
    </row>
    <row r="6" spans="1:28" ht="23.25" customHeight="1" thickBot="1">
      <c r="A6" s="636"/>
      <c r="B6" s="637"/>
      <c r="C6" s="637"/>
      <c r="D6" s="637"/>
      <c r="E6" s="638"/>
      <c r="F6" s="219"/>
      <c r="G6" s="219"/>
      <c r="H6" s="697" t="s">
        <v>271</v>
      </c>
      <c r="I6" s="697"/>
      <c r="J6" s="697"/>
      <c r="K6" s="694" t="s">
        <v>161</v>
      </c>
      <c r="L6" s="694"/>
      <c r="M6" s="694"/>
      <c r="N6" s="694"/>
      <c r="O6" s="694"/>
      <c r="P6" s="343"/>
      <c r="Q6" s="438"/>
      <c r="R6" s="343"/>
      <c r="S6" s="343"/>
      <c r="T6" s="343"/>
      <c r="U6" s="343"/>
      <c r="V6" s="343"/>
      <c r="W6" s="349"/>
      <c r="X6" s="135"/>
      <c r="Y6" s="135"/>
      <c r="Z6" s="135"/>
      <c r="AA6" s="135"/>
      <c r="AB6" s="135"/>
    </row>
    <row r="7" spans="1:29" s="24" customFormat="1" ht="33.75" customHeight="1">
      <c r="A7" s="636"/>
      <c r="B7" s="637"/>
      <c r="C7" s="637"/>
      <c r="D7" s="637"/>
      <c r="E7" s="638"/>
      <c r="F7" s="61"/>
      <c r="G7" s="90"/>
      <c r="H7" s="90"/>
      <c r="I7" s="90"/>
      <c r="J7" s="660" t="s">
        <v>409</v>
      </c>
      <c r="K7" s="660"/>
      <c r="L7" s="660"/>
      <c r="M7" s="660"/>
      <c r="N7" s="660"/>
      <c r="O7" s="453"/>
      <c r="P7" s="414"/>
      <c r="Q7" s="439"/>
      <c r="R7" s="65"/>
      <c r="S7" s="65"/>
      <c r="T7" s="65"/>
      <c r="U7" s="65"/>
      <c r="V7" s="65"/>
      <c r="W7" s="65"/>
      <c r="X7" s="61"/>
      <c r="Y7" s="61"/>
      <c r="Z7" s="61"/>
      <c r="AA7" s="61"/>
      <c r="AB7" s="61"/>
      <c r="AC7" s="61"/>
    </row>
    <row r="8" spans="1:29" s="24" customFormat="1" ht="3.75" customHeight="1">
      <c r="A8" s="639"/>
      <c r="B8" s="640"/>
      <c r="C8" s="640"/>
      <c r="D8" s="640"/>
      <c r="E8" s="641"/>
      <c r="F8" s="61"/>
      <c r="G8" s="90"/>
      <c r="H8" s="90"/>
      <c r="I8" s="90"/>
      <c r="J8" s="453"/>
      <c r="K8" s="453"/>
      <c r="L8" s="453"/>
      <c r="M8" s="453"/>
      <c r="N8" s="453"/>
      <c r="O8" s="453"/>
      <c r="P8" s="414"/>
      <c r="Q8" s="439"/>
      <c r="R8" s="65"/>
      <c r="S8" s="65"/>
      <c r="T8" s="65"/>
      <c r="U8" s="65"/>
      <c r="V8" s="65"/>
      <c r="W8" s="65"/>
      <c r="X8" s="61"/>
      <c r="Y8" s="61"/>
      <c r="Z8" s="61"/>
      <c r="AA8" s="61"/>
      <c r="AB8" s="61"/>
      <c r="AC8" s="61"/>
    </row>
    <row r="9" spans="1:29" ht="35.25" customHeight="1" thickBot="1">
      <c r="A9" s="124" t="s">
        <v>165</v>
      </c>
      <c r="B9" s="645"/>
      <c r="C9" s="645"/>
      <c r="D9" s="645"/>
      <c r="E9" s="645"/>
      <c r="F9" s="135"/>
      <c r="G9" s="194"/>
      <c r="H9" s="194"/>
      <c r="I9" s="135"/>
      <c r="J9" s="124" t="s">
        <v>459</v>
      </c>
      <c r="K9" s="699"/>
      <c r="L9" s="699"/>
      <c r="M9" s="699"/>
      <c r="N9" s="699"/>
      <c r="O9" s="699"/>
      <c r="P9" s="400"/>
      <c r="Q9" s="440"/>
      <c r="R9" s="673"/>
      <c r="S9" s="674"/>
      <c r="T9" s="674"/>
      <c r="U9" s="674"/>
      <c r="V9" s="674"/>
      <c r="W9" s="349"/>
      <c r="X9" s="7"/>
      <c r="Y9" s="135"/>
      <c r="Z9" s="135"/>
      <c r="AA9" s="135"/>
      <c r="AB9" s="135"/>
      <c r="AC9" s="135"/>
    </row>
    <row r="10" spans="1:29" ht="18" customHeight="1" thickBot="1">
      <c r="A10" s="125" t="s">
        <v>197</v>
      </c>
      <c r="B10" s="646"/>
      <c r="C10" s="646"/>
      <c r="D10" s="646"/>
      <c r="E10" s="646"/>
      <c r="F10" s="135"/>
      <c r="G10" s="124"/>
      <c r="H10" s="124"/>
      <c r="I10" s="135"/>
      <c r="J10" s="124" t="s">
        <v>163</v>
      </c>
      <c r="K10" s="700"/>
      <c r="L10" s="700"/>
      <c r="M10" s="700"/>
      <c r="N10" s="700"/>
      <c r="O10" s="700"/>
      <c r="P10" s="400"/>
      <c r="Q10" s="440"/>
      <c r="R10" s="349"/>
      <c r="S10" s="349"/>
      <c r="T10" s="349"/>
      <c r="U10" s="349"/>
      <c r="V10" s="349"/>
      <c r="W10" s="349"/>
      <c r="X10" s="447"/>
      <c r="Y10" s="135"/>
      <c r="Z10" s="135"/>
      <c r="AA10" s="135"/>
      <c r="AB10" s="135"/>
      <c r="AC10" s="135"/>
    </row>
    <row r="11" spans="1:29" ht="17.25" customHeight="1" thickBot="1">
      <c r="A11" s="125" t="s">
        <v>166</v>
      </c>
      <c r="B11" s="646"/>
      <c r="C11" s="646"/>
      <c r="D11" s="646"/>
      <c r="E11" s="646"/>
      <c r="F11" s="135"/>
      <c r="G11" s="124"/>
      <c r="H11" s="124"/>
      <c r="I11" s="135"/>
      <c r="J11" s="124" t="s">
        <v>164</v>
      </c>
      <c r="K11" s="646"/>
      <c r="L11" s="646"/>
      <c r="M11" s="646"/>
      <c r="N11" s="646"/>
      <c r="O11" s="646"/>
      <c r="P11" s="401"/>
      <c r="Q11" s="440"/>
      <c r="R11" s="349"/>
      <c r="S11" s="349"/>
      <c r="T11" s="349"/>
      <c r="U11" s="349"/>
      <c r="V11" s="349"/>
      <c r="W11" s="349"/>
      <c r="X11"/>
      <c r="Y11" s="135"/>
      <c r="Z11" s="135"/>
      <c r="AA11" s="135"/>
      <c r="AB11" s="135"/>
      <c r="AC11" s="135"/>
    </row>
    <row r="12" spans="1:29" ht="18" customHeight="1" thickBot="1">
      <c r="A12" s="125" t="s">
        <v>167</v>
      </c>
      <c r="B12" s="646"/>
      <c r="C12" s="646"/>
      <c r="D12" s="646"/>
      <c r="E12" s="646"/>
      <c r="F12" s="712" t="s">
        <v>296</v>
      </c>
      <c r="G12" s="712"/>
      <c r="H12" s="712"/>
      <c r="I12" s="712"/>
      <c r="J12" s="448" t="s">
        <v>334</v>
      </c>
      <c r="K12" s="713"/>
      <c r="L12" s="714"/>
      <c r="M12" s="449" t="s">
        <v>333</v>
      </c>
      <c r="N12" s="711"/>
      <c r="O12" s="711"/>
      <c r="P12" s="408"/>
      <c r="Q12" s="440"/>
      <c r="R12" s="349"/>
      <c r="S12" s="349"/>
      <c r="T12" s="349"/>
      <c r="U12" s="349"/>
      <c r="V12" s="349"/>
      <c r="W12" s="349"/>
      <c r="X12"/>
      <c r="Y12" s="135"/>
      <c r="Z12" s="135"/>
      <c r="AA12" s="135"/>
      <c r="AB12" s="135"/>
      <c r="AC12" s="135"/>
    </row>
    <row r="13" spans="1:29" ht="20.25" customHeight="1" thickBo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441"/>
      <c r="R13" s="343"/>
      <c r="S13" s="343"/>
      <c r="T13" s="343"/>
      <c r="U13" s="343"/>
      <c r="V13" s="343"/>
      <c r="W13" s="343"/>
      <c r="X13"/>
      <c r="Y13" s="135"/>
      <c r="Z13" s="135"/>
      <c r="AA13" s="135"/>
      <c r="AB13" s="135"/>
      <c r="AC13" s="135"/>
    </row>
    <row r="14" spans="1:29" ht="15.75" thickBot="1">
      <c r="A14" s="715" t="s">
        <v>298</v>
      </c>
      <c r="B14" s="716"/>
      <c r="C14" s="716"/>
      <c r="D14" s="716"/>
      <c r="E14" s="716"/>
      <c r="F14" s="716"/>
      <c r="G14" s="716"/>
      <c r="H14" s="717"/>
      <c r="I14" s="664" t="s">
        <v>411</v>
      </c>
      <c r="J14" s="665"/>
      <c r="K14" s="665"/>
      <c r="L14" s="665"/>
      <c r="M14" s="666"/>
      <c r="N14" s="667" t="s">
        <v>331</v>
      </c>
      <c r="O14" s="668"/>
      <c r="P14" s="434"/>
      <c r="Q14" s="441"/>
      <c r="R14" s="404"/>
      <c r="S14" s="404"/>
      <c r="T14" s="343"/>
      <c r="U14" s="343"/>
      <c r="V14" s="343"/>
      <c r="W14" s="343"/>
      <c r="X14"/>
      <c r="Y14" s="135"/>
      <c r="Z14" s="135"/>
      <c r="AA14" s="135"/>
      <c r="AB14" s="135"/>
      <c r="AC14" s="135"/>
    </row>
    <row r="15" spans="1:29" s="195" customFormat="1" ht="46.5" customHeight="1">
      <c r="A15" s="142" t="s">
        <v>0</v>
      </c>
      <c r="B15" s="143" t="s">
        <v>8</v>
      </c>
      <c r="C15" s="143" t="s">
        <v>33</v>
      </c>
      <c r="D15" s="689" t="s">
        <v>431</v>
      </c>
      <c r="E15" s="690"/>
      <c r="F15" s="450" t="s">
        <v>424</v>
      </c>
      <c r="G15" s="658" t="s">
        <v>9</v>
      </c>
      <c r="H15" s="659"/>
      <c r="I15" s="144" t="s">
        <v>432</v>
      </c>
      <c r="J15" s="196" t="s">
        <v>301</v>
      </c>
      <c r="K15" s="196" t="s">
        <v>452</v>
      </c>
      <c r="L15" s="196" t="s">
        <v>433</v>
      </c>
      <c r="M15" s="190" t="s">
        <v>288</v>
      </c>
      <c r="N15" s="679" t="s">
        <v>407</v>
      </c>
      <c r="O15" s="680"/>
      <c r="P15" s="434"/>
      <c r="Q15" s="442"/>
      <c r="R15" s="343"/>
      <c r="S15" s="343"/>
      <c r="T15" s="343"/>
      <c r="U15" s="343"/>
      <c r="V15" s="343"/>
      <c r="W15" s="343"/>
      <c r="X15"/>
      <c r="Y15" s="396"/>
      <c r="Z15" s="396"/>
      <c r="AA15" s="396"/>
      <c r="AB15" s="396"/>
      <c r="AC15" s="396"/>
    </row>
    <row r="16" spans="1:29" ht="16.5" customHeight="1">
      <c r="A16" s="223" t="s">
        <v>2</v>
      </c>
      <c r="B16" s="198">
        <f>IF($K$6="Click Here for Drop-Down Menu","",VLOOKUP($K$6,'Timesheet Periods'!A7:B137,2,))</f>
      </c>
      <c r="C16" s="380"/>
      <c r="D16" s="381"/>
      <c r="E16" s="381"/>
      <c r="F16" s="382"/>
      <c r="G16" s="359">
        <f>'HEOCSRounding-Time'!G25</f>
        <v>0</v>
      </c>
      <c r="H16" s="360">
        <f>IF(Holidays!C20="Holiday","HOLIDAY","")</f>
      </c>
      <c r="I16" s="201"/>
      <c r="J16" s="202"/>
      <c r="K16" s="202"/>
      <c r="L16" s="202"/>
      <c r="M16" s="412"/>
      <c r="N16" s="656" t="s">
        <v>339</v>
      </c>
      <c r="O16" s="657"/>
      <c r="P16" s="434"/>
      <c r="Q16" s="441"/>
      <c r="R16" s="343"/>
      <c r="S16" s="343"/>
      <c r="T16" s="343"/>
      <c r="U16" s="343"/>
      <c r="V16" s="343"/>
      <c r="W16" s="343"/>
      <c r="X16"/>
      <c r="Y16" s="135"/>
      <c r="Z16" s="135"/>
      <c r="AA16" s="135"/>
      <c r="AB16" s="135"/>
      <c r="AC16" s="135"/>
    </row>
    <row r="17" spans="1:29" ht="16.5" customHeight="1">
      <c r="A17" s="223" t="s">
        <v>3</v>
      </c>
      <c r="B17" s="198">
        <f aca="true" t="shared" si="0" ref="B17:B22">IF($B$16="","",B16+1)</f>
      </c>
      <c r="C17" s="380"/>
      <c r="D17" s="381"/>
      <c r="E17" s="381"/>
      <c r="F17" s="382"/>
      <c r="G17" s="359">
        <f>'HEOCSRounding-Time'!G26</f>
        <v>0</v>
      </c>
      <c r="H17" s="361">
        <f>IF(Holidays!C21="Holiday","HOLIDAY","")</f>
      </c>
      <c r="I17" s="201"/>
      <c r="J17" s="202"/>
      <c r="K17" s="202"/>
      <c r="L17" s="202"/>
      <c r="M17" s="412"/>
      <c r="N17" s="656" t="s">
        <v>340</v>
      </c>
      <c r="O17" s="657"/>
      <c r="P17" s="434"/>
      <c r="Q17" s="441"/>
      <c r="R17" s="343"/>
      <c r="S17" s="343"/>
      <c r="T17" s="343"/>
      <c r="U17" s="343"/>
      <c r="V17" s="343"/>
      <c r="W17" s="343"/>
      <c r="X17"/>
      <c r="Y17" s="135"/>
      <c r="Z17" s="135"/>
      <c r="AA17" s="135"/>
      <c r="AB17" s="135"/>
      <c r="AC17" s="135"/>
    </row>
    <row r="18" spans="1:29" ht="16.5" customHeight="1">
      <c r="A18" s="223" t="s">
        <v>4</v>
      </c>
      <c r="B18" s="198">
        <f t="shared" si="0"/>
      </c>
      <c r="C18" s="380"/>
      <c r="D18" s="381"/>
      <c r="E18" s="381"/>
      <c r="F18" s="382"/>
      <c r="G18" s="359">
        <f>'HEOCSRounding-Time'!G27</f>
        <v>0</v>
      </c>
      <c r="H18" s="361">
        <f>IF(Holidays!C22="Holiday","HOLIDAY","")</f>
      </c>
      <c r="I18" s="202"/>
      <c r="J18" s="202"/>
      <c r="K18" s="202"/>
      <c r="L18" s="202"/>
      <c r="M18" s="412"/>
      <c r="N18" s="656" t="s">
        <v>341</v>
      </c>
      <c r="O18" s="657"/>
      <c r="P18" s="434"/>
      <c r="Q18" s="441"/>
      <c r="R18" s="343"/>
      <c r="S18" s="343"/>
      <c r="T18" s="343"/>
      <c r="U18" s="343"/>
      <c r="V18" s="343"/>
      <c r="W18" s="343"/>
      <c r="X18"/>
      <c r="Y18" s="135"/>
      <c r="Z18" s="135"/>
      <c r="AA18" s="135"/>
      <c r="AB18" s="135"/>
      <c r="AC18" s="135"/>
    </row>
    <row r="19" spans="1:29" ht="16.5" customHeight="1">
      <c r="A19" s="223" t="s">
        <v>5</v>
      </c>
      <c r="B19" s="198">
        <f t="shared" si="0"/>
      </c>
      <c r="C19" s="380"/>
      <c r="D19" s="381"/>
      <c r="E19" s="381"/>
      <c r="F19" s="382"/>
      <c r="G19" s="359">
        <f>'HEOCSRounding-Time'!G28</f>
        <v>0</v>
      </c>
      <c r="H19" s="361">
        <f>IF(Holidays!C23="Holiday","HOLIDAY","")</f>
      </c>
      <c r="I19" s="202"/>
      <c r="J19" s="202"/>
      <c r="K19" s="202"/>
      <c r="L19" s="202"/>
      <c r="M19" s="412"/>
      <c r="N19" s="656" t="s">
        <v>342</v>
      </c>
      <c r="O19" s="657"/>
      <c r="P19" s="434"/>
      <c r="Q19" s="441"/>
      <c r="R19" s="343"/>
      <c r="S19" s="343"/>
      <c r="T19" s="343"/>
      <c r="U19" s="343"/>
      <c r="V19" s="343"/>
      <c r="W19" s="343"/>
      <c r="X19"/>
      <c r="Y19" s="135"/>
      <c r="Z19" s="135"/>
      <c r="AA19" s="135"/>
      <c r="AB19" s="135"/>
      <c r="AC19" s="135"/>
    </row>
    <row r="20" spans="1:29" ht="16.5" customHeight="1">
      <c r="A20" s="223" t="s">
        <v>6</v>
      </c>
      <c r="B20" s="198">
        <f t="shared" si="0"/>
      </c>
      <c r="C20" s="380"/>
      <c r="D20" s="381"/>
      <c r="E20" s="381"/>
      <c r="F20" s="382"/>
      <c r="G20" s="359">
        <f>'HEOCSRounding-Time'!G29</f>
        <v>0</v>
      </c>
      <c r="H20" s="361">
        <f>IF(Holidays!C24="Holiday","HOLIDAY","")</f>
      </c>
      <c r="I20" s="201"/>
      <c r="J20" s="202"/>
      <c r="K20" s="202"/>
      <c r="L20" s="202"/>
      <c r="M20" s="412"/>
      <c r="N20" s="656" t="s">
        <v>343</v>
      </c>
      <c r="O20" s="657"/>
      <c r="P20" s="434"/>
      <c r="Q20" s="441"/>
      <c r="R20" s="343"/>
      <c r="S20" s="343"/>
      <c r="T20" s="343"/>
      <c r="U20" s="343"/>
      <c r="V20" s="343"/>
      <c r="W20" s="343"/>
      <c r="X20"/>
      <c r="Y20" s="135"/>
      <c r="Z20" s="135"/>
      <c r="AA20" s="135"/>
      <c r="AB20" s="135"/>
      <c r="AC20" s="135"/>
    </row>
    <row r="21" spans="1:29" ht="16.5" customHeight="1">
      <c r="A21" s="223" t="s">
        <v>7</v>
      </c>
      <c r="B21" s="198">
        <f t="shared" si="0"/>
      </c>
      <c r="C21" s="380"/>
      <c r="D21" s="381"/>
      <c r="E21" s="381"/>
      <c r="F21" s="382"/>
      <c r="G21" s="359">
        <f>'HEOCSRounding-Time'!G30</f>
        <v>0</v>
      </c>
      <c r="H21" s="361">
        <f>IF(Holidays!C25="Holiday","HOLIDAY","")</f>
      </c>
      <c r="I21" s="201"/>
      <c r="J21" s="202"/>
      <c r="K21" s="202"/>
      <c r="L21" s="202"/>
      <c r="M21" s="412"/>
      <c r="N21" s="656" t="s">
        <v>344</v>
      </c>
      <c r="O21" s="657"/>
      <c r="P21" s="434"/>
      <c r="Q21" s="441"/>
      <c r="R21" s="343"/>
      <c r="S21" s="343"/>
      <c r="T21" s="343"/>
      <c r="U21" s="343"/>
      <c r="V21" s="343"/>
      <c r="W21" s="343"/>
      <c r="X21"/>
      <c r="Y21" s="135"/>
      <c r="Z21" s="135"/>
      <c r="AA21" s="135"/>
      <c r="AB21" s="135"/>
      <c r="AC21" s="135"/>
    </row>
    <row r="22" spans="1:29" ht="16.5" customHeight="1">
      <c r="A22" s="223" t="s">
        <v>1</v>
      </c>
      <c r="B22" s="198">
        <f t="shared" si="0"/>
      </c>
      <c r="C22" s="380"/>
      <c r="D22" s="381"/>
      <c r="E22" s="381"/>
      <c r="F22" s="382"/>
      <c r="G22" s="359">
        <f>'HEOCSRounding-Time'!G31</f>
        <v>0</v>
      </c>
      <c r="H22" s="361">
        <f>IF(Holidays!C26="Holiday","HOLIDAY","")</f>
      </c>
      <c r="I22" s="201"/>
      <c r="J22" s="202"/>
      <c r="K22" s="202"/>
      <c r="L22" s="202"/>
      <c r="M22" s="413"/>
      <c r="N22" s="656" t="s">
        <v>342</v>
      </c>
      <c r="O22" s="657"/>
      <c r="P22" s="434"/>
      <c r="Q22" s="441"/>
      <c r="R22" s="343"/>
      <c r="S22" s="343"/>
      <c r="T22" s="343"/>
      <c r="U22" s="343"/>
      <c r="V22" s="343"/>
      <c r="W22" s="343"/>
      <c r="X22"/>
      <c r="Y22" s="135"/>
      <c r="Z22" s="135"/>
      <c r="AA22" s="135"/>
      <c r="AB22" s="135"/>
      <c r="AC22" s="135"/>
    </row>
    <row r="23" spans="1:29" ht="21" customHeight="1" thickBot="1">
      <c r="A23" s="224"/>
      <c r="B23" s="225"/>
      <c r="C23" s="225"/>
      <c r="D23" s="225"/>
      <c r="E23" s="681" t="s">
        <v>108</v>
      </c>
      <c r="F23" s="682"/>
      <c r="G23" s="362">
        <f>SUM(G16:G22)</f>
        <v>0</v>
      </c>
      <c r="H23" s="363"/>
      <c r="I23" s="461">
        <f>SUM(I16:I22)/24</f>
        <v>0</v>
      </c>
      <c r="J23" s="461">
        <f>SUM(J16:J22)/24</f>
        <v>0</v>
      </c>
      <c r="K23" s="334">
        <f>SUM(K16:K22)</f>
        <v>0</v>
      </c>
      <c r="L23" s="461">
        <f>SUM(L16:L22)/24</f>
        <v>0</v>
      </c>
      <c r="M23" s="333"/>
      <c r="N23" s="656" t="s">
        <v>345</v>
      </c>
      <c r="O23" s="657"/>
      <c r="P23" s="434"/>
      <c r="Q23" s="441"/>
      <c r="R23" s="343"/>
      <c r="S23" s="343"/>
      <c r="T23" s="343"/>
      <c r="U23" s="343"/>
      <c r="V23" s="343"/>
      <c r="W23" s="343"/>
      <c r="X23"/>
      <c r="Y23" s="135"/>
      <c r="Z23" s="135"/>
      <c r="AA23" s="135"/>
      <c r="AB23" s="135"/>
      <c r="AC23" s="135"/>
    </row>
    <row r="24" spans="1:29" ht="21" customHeight="1" thickBot="1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443"/>
      <c r="R24" s="343"/>
      <c r="S24" s="343"/>
      <c r="T24" s="343"/>
      <c r="U24" s="343"/>
      <c r="V24" s="463">
        <f>(INT(I18)*60+MOD(I18,1)*100)/60/24</f>
        <v>0</v>
      </c>
      <c r="W24" s="343"/>
      <c r="X24"/>
      <c r="Y24" s="135"/>
      <c r="Z24" s="135"/>
      <c r="AA24" s="135"/>
      <c r="AB24" s="135"/>
      <c r="AC24" s="135"/>
    </row>
    <row r="25" spans="1:29" ht="16.5" thickBot="1">
      <c r="A25" s="715" t="s">
        <v>298</v>
      </c>
      <c r="B25" s="716"/>
      <c r="C25" s="716"/>
      <c r="D25" s="716"/>
      <c r="E25" s="716"/>
      <c r="F25" s="716"/>
      <c r="G25" s="716"/>
      <c r="H25" s="717"/>
      <c r="I25" s="661" t="s">
        <v>411</v>
      </c>
      <c r="J25" s="662"/>
      <c r="K25" s="662"/>
      <c r="L25" s="662"/>
      <c r="M25" s="663"/>
      <c r="N25" s="667" t="s">
        <v>331</v>
      </c>
      <c r="O25" s="668"/>
      <c r="P25" s="434"/>
      <c r="Q25" s="444"/>
      <c r="R25" s="446"/>
      <c r="S25" s="343"/>
      <c r="T25" s="343"/>
      <c r="U25" s="343"/>
      <c r="V25" s="343"/>
      <c r="W25" s="343"/>
      <c r="X25"/>
      <c r="Y25" s="135"/>
      <c r="Z25" s="135"/>
      <c r="AA25" s="135"/>
      <c r="AB25" s="135"/>
      <c r="AC25" s="135"/>
    </row>
    <row r="26" spans="1:29" s="195" customFormat="1" ht="46.5" customHeight="1">
      <c r="A26" s="142" t="s">
        <v>0</v>
      </c>
      <c r="B26" s="143" t="s">
        <v>8</v>
      </c>
      <c r="C26" s="143" t="s">
        <v>33</v>
      </c>
      <c r="D26" s="689" t="s">
        <v>431</v>
      </c>
      <c r="E26" s="690"/>
      <c r="F26" s="450" t="s">
        <v>424</v>
      </c>
      <c r="G26" s="658" t="s">
        <v>9</v>
      </c>
      <c r="H26" s="659"/>
      <c r="I26" s="144" t="s">
        <v>300</v>
      </c>
      <c r="J26" s="196" t="s">
        <v>301</v>
      </c>
      <c r="K26" s="196" t="s">
        <v>451</v>
      </c>
      <c r="L26" s="196" t="s">
        <v>433</v>
      </c>
      <c r="M26" s="190" t="s">
        <v>288</v>
      </c>
      <c r="N26" s="679" t="s">
        <v>408</v>
      </c>
      <c r="O26" s="680"/>
      <c r="P26" s="434"/>
      <c r="Q26" s="442"/>
      <c r="R26" s="343"/>
      <c r="S26" s="343"/>
      <c r="T26" s="343"/>
      <c r="U26" s="343"/>
      <c r="V26" s="343"/>
      <c r="W26" s="343"/>
      <c r="X26"/>
      <c r="Y26" s="396"/>
      <c r="Z26" s="396"/>
      <c r="AA26" s="396"/>
      <c r="AB26" s="396"/>
      <c r="AC26" s="396"/>
    </row>
    <row r="27" spans="1:29" ht="16.5" customHeight="1">
      <c r="A27" s="226" t="s">
        <v>2</v>
      </c>
      <c r="B27" s="199">
        <f>IF($B$16="","",B22+1)</f>
      </c>
      <c r="C27" s="380"/>
      <c r="D27" s="381"/>
      <c r="E27" s="381"/>
      <c r="F27" s="382"/>
      <c r="G27" s="359">
        <f>'HEOCSRounding-Time'!G35</f>
        <v>0</v>
      </c>
      <c r="H27" s="360">
        <f>IF(Holidays!C29="Holiday","HOLIDAY","")</f>
      </c>
      <c r="I27" s="201"/>
      <c r="J27" s="202"/>
      <c r="K27" s="202"/>
      <c r="L27" s="202"/>
      <c r="M27" s="412"/>
      <c r="N27" s="656" t="s">
        <v>339</v>
      </c>
      <c r="O27" s="657"/>
      <c r="P27" s="434"/>
      <c r="Q27" s="441"/>
      <c r="R27" s="343"/>
      <c r="S27" s="343"/>
      <c r="T27" s="343"/>
      <c r="U27" s="343"/>
      <c r="V27" s="343"/>
      <c r="W27" s="343"/>
      <c r="X27"/>
      <c r="Y27" s="135"/>
      <c r="Z27" s="135"/>
      <c r="AA27" s="135"/>
      <c r="AB27" s="135"/>
      <c r="AC27" s="135"/>
    </row>
    <row r="28" spans="1:29" ht="16.5" customHeight="1">
      <c r="A28" s="226" t="s">
        <v>3</v>
      </c>
      <c r="B28" s="199">
        <f aca="true" t="shared" si="1" ref="B28:B33">IF($B$16="","",B27+1)</f>
      </c>
      <c r="C28" s="380"/>
      <c r="D28" s="381"/>
      <c r="E28" s="381"/>
      <c r="F28" s="382"/>
      <c r="G28" s="359">
        <f>'HEOCSRounding-Time'!G36</f>
        <v>0</v>
      </c>
      <c r="H28" s="361">
        <f>IF(Holidays!C30="Holiday","HOLIDAY","")</f>
      </c>
      <c r="I28" s="201"/>
      <c r="J28" s="202"/>
      <c r="K28" s="202"/>
      <c r="L28" s="202"/>
      <c r="M28" s="412"/>
      <c r="N28" s="656" t="s">
        <v>340</v>
      </c>
      <c r="O28" s="657"/>
      <c r="P28" s="434"/>
      <c r="Q28" s="441"/>
      <c r="R28" s="701" t="s">
        <v>426</v>
      </c>
      <c r="S28" s="702"/>
      <c r="T28" s="702"/>
      <c r="U28" s="702"/>
      <c r="V28" s="702"/>
      <c r="W28" s="702"/>
      <c r="X28" s="703"/>
      <c r="Y28" s="458"/>
      <c r="Z28" s="458"/>
      <c r="AA28" s="349"/>
      <c r="AB28" s="135"/>
      <c r="AC28" s="135"/>
    </row>
    <row r="29" spans="1:29" ht="16.5" customHeight="1">
      <c r="A29" s="226" t="s">
        <v>4</v>
      </c>
      <c r="B29" s="199">
        <f t="shared" si="1"/>
      </c>
      <c r="C29" s="380"/>
      <c r="D29" s="381"/>
      <c r="E29" s="381"/>
      <c r="F29" s="382"/>
      <c r="G29" s="359">
        <f>'HEOCSRounding-Time'!G37</f>
        <v>0</v>
      </c>
      <c r="H29" s="361">
        <f>IF(Holidays!C31="Holiday","HOLIDAY","")</f>
      </c>
      <c r="I29" s="202"/>
      <c r="J29" s="202"/>
      <c r="K29" s="202"/>
      <c r="L29" s="202"/>
      <c r="M29" s="412"/>
      <c r="N29" s="656" t="s">
        <v>341</v>
      </c>
      <c r="O29" s="657"/>
      <c r="P29" s="434"/>
      <c r="Q29" s="441"/>
      <c r="R29" s="704"/>
      <c r="S29" s="705"/>
      <c r="T29" s="705"/>
      <c r="U29" s="705"/>
      <c r="V29" s="705"/>
      <c r="W29" s="705"/>
      <c r="X29" s="706"/>
      <c r="Y29" s="458"/>
      <c r="Z29" s="458"/>
      <c r="AA29" s="349"/>
      <c r="AB29" s="135"/>
      <c r="AC29" s="135"/>
    </row>
    <row r="30" spans="1:29" ht="16.5" customHeight="1">
      <c r="A30" s="226" t="s">
        <v>5</v>
      </c>
      <c r="B30" s="199">
        <f t="shared" si="1"/>
      </c>
      <c r="C30" s="380"/>
      <c r="D30" s="381"/>
      <c r="E30" s="381"/>
      <c r="F30" s="382"/>
      <c r="G30" s="359">
        <f>'HEOCSRounding-Time'!G38</f>
        <v>0</v>
      </c>
      <c r="H30" s="361">
        <f>IF(Holidays!C32="Holiday","HOLIDAY","")</f>
      </c>
      <c r="I30" s="202"/>
      <c r="J30" s="202"/>
      <c r="K30" s="202"/>
      <c r="L30" s="202"/>
      <c r="M30" s="412"/>
      <c r="N30" s="656" t="s">
        <v>342</v>
      </c>
      <c r="O30" s="657"/>
      <c r="P30" s="434"/>
      <c r="Q30" s="441"/>
      <c r="R30" s="704"/>
      <c r="S30" s="705"/>
      <c r="T30" s="705"/>
      <c r="U30" s="705"/>
      <c r="V30" s="705"/>
      <c r="W30" s="705"/>
      <c r="X30" s="706"/>
      <c r="Y30" s="458"/>
      <c r="Z30" s="458"/>
      <c r="AA30" s="349"/>
      <c r="AB30" s="135"/>
      <c r="AC30" s="135"/>
    </row>
    <row r="31" spans="1:29" ht="16.5" customHeight="1">
      <c r="A31" s="226" t="s">
        <v>6</v>
      </c>
      <c r="B31" s="199">
        <f t="shared" si="1"/>
      </c>
      <c r="C31" s="380"/>
      <c r="D31" s="381"/>
      <c r="E31" s="381"/>
      <c r="F31" s="382"/>
      <c r="G31" s="359">
        <f>'HEOCSRounding-Time'!G39</f>
        <v>0</v>
      </c>
      <c r="H31" s="361">
        <f>IF(Holidays!C33="Holiday","HOLIDAY","")</f>
      </c>
      <c r="I31" s="201"/>
      <c r="J31" s="202"/>
      <c r="K31" s="202"/>
      <c r="L31" s="202"/>
      <c r="M31" s="412"/>
      <c r="N31" s="656" t="s">
        <v>343</v>
      </c>
      <c r="O31" s="657"/>
      <c r="P31" s="434"/>
      <c r="Q31" s="441"/>
      <c r="R31" s="704"/>
      <c r="S31" s="705"/>
      <c r="T31" s="705"/>
      <c r="U31" s="705"/>
      <c r="V31" s="705"/>
      <c r="W31" s="705"/>
      <c r="X31" s="706"/>
      <c r="Y31" s="458"/>
      <c r="Z31" s="458"/>
      <c r="AA31" s="349"/>
      <c r="AB31" s="135"/>
      <c r="AC31" s="135"/>
    </row>
    <row r="32" spans="1:29" ht="16.5" customHeight="1">
      <c r="A32" s="226" t="s">
        <v>7</v>
      </c>
      <c r="B32" s="199">
        <f t="shared" si="1"/>
      </c>
      <c r="C32" s="380"/>
      <c r="D32" s="381"/>
      <c r="E32" s="381"/>
      <c r="F32" s="382"/>
      <c r="G32" s="359">
        <f>'HEOCSRounding-Time'!G40</f>
        <v>0</v>
      </c>
      <c r="H32" s="361">
        <f>IF(Holidays!C34="Holiday","HOLIDAY","")</f>
      </c>
      <c r="I32" s="201"/>
      <c r="J32" s="202"/>
      <c r="K32" s="202"/>
      <c r="L32" s="202"/>
      <c r="M32" s="412"/>
      <c r="N32" s="656" t="s">
        <v>344</v>
      </c>
      <c r="O32" s="657"/>
      <c r="P32" s="434"/>
      <c r="Q32" s="441"/>
      <c r="R32" s="704"/>
      <c r="S32" s="705"/>
      <c r="T32" s="705"/>
      <c r="U32" s="705"/>
      <c r="V32" s="705"/>
      <c r="W32" s="705"/>
      <c r="X32" s="706"/>
      <c r="Y32" s="458"/>
      <c r="Z32" s="458"/>
      <c r="AA32" s="349"/>
      <c r="AB32" s="135"/>
      <c r="AC32" s="135"/>
    </row>
    <row r="33" spans="1:29" ht="16.5" customHeight="1">
      <c r="A33" s="226" t="s">
        <v>1</v>
      </c>
      <c r="B33" s="199">
        <f t="shared" si="1"/>
      </c>
      <c r="C33" s="380"/>
      <c r="D33" s="381"/>
      <c r="E33" s="381"/>
      <c r="F33" s="382"/>
      <c r="G33" s="359">
        <f>'HEOCSRounding-Time'!G41</f>
        <v>0</v>
      </c>
      <c r="H33" s="361">
        <f>IF(Holidays!C35="Holiday","HOLIDAY","")</f>
      </c>
      <c r="I33" s="201"/>
      <c r="J33" s="202"/>
      <c r="K33" s="202"/>
      <c r="L33" s="202"/>
      <c r="M33" s="413"/>
      <c r="N33" s="656" t="s">
        <v>342</v>
      </c>
      <c r="O33" s="657"/>
      <c r="P33" s="434"/>
      <c r="Q33" s="441"/>
      <c r="R33" s="704"/>
      <c r="S33" s="705"/>
      <c r="T33" s="705"/>
      <c r="U33" s="705"/>
      <c r="V33" s="705"/>
      <c r="W33" s="705"/>
      <c r="X33" s="706"/>
      <c r="Y33" s="458"/>
      <c r="Z33" s="458"/>
      <c r="AA33" s="349"/>
      <c r="AB33" s="135"/>
      <c r="AC33" s="135"/>
    </row>
    <row r="34" spans="1:27" s="135" customFormat="1" ht="21" customHeight="1" thickBot="1">
      <c r="A34" s="227"/>
      <c r="B34" s="228"/>
      <c r="C34" s="228"/>
      <c r="D34" s="228"/>
      <c r="E34" s="681" t="s">
        <v>108</v>
      </c>
      <c r="F34" s="682"/>
      <c r="G34" s="364">
        <f>SUM(G27:G33)</f>
        <v>0</v>
      </c>
      <c r="H34" s="363"/>
      <c r="I34" s="461">
        <f>SUM(I27:I33)/24</f>
        <v>0</v>
      </c>
      <c r="J34" s="461">
        <f>SUM(J27:J33)/24</f>
        <v>0</v>
      </c>
      <c r="K34" s="334">
        <f>SUM(K27:K33)</f>
        <v>0</v>
      </c>
      <c r="L34" s="461">
        <f>SUM(L27:L33)/24</f>
        <v>0</v>
      </c>
      <c r="M34" s="333"/>
      <c r="N34" s="656" t="s">
        <v>345</v>
      </c>
      <c r="O34" s="657"/>
      <c r="P34" s="434"/>
      <c r="Q34" s="440"/>
      <c r="R34" s="707"/>
      <c r="S34" s="708"/>
      <c r="T34" s="708"/>
      <c r="U34" s="708"/>
      <c r="V34" s="708"/>
      <c r="W34" s="708"/>
      <c r="X34" s="709"/>
      <c r="Y34" s="458"/>
      <c r="Z34" s="458"/>
      <c r="AA34" s="349"/>
    </row>
    <row r="35" spans="1:27" s="135" customFormat="1" ht="21" customHeight="1" thickBot="1">
      <c r="A35" s="683" t="s">
        <v>412</v>
      </c>
      <c r="B35" s="684"/>
      <c r="C35" s="684"/>
      <c r="D35" s="684"/>
      <c r="E35" s="684"/>
      <c r="F35" s="685"/>
      <c r="G35" s="200">
        <f aca="true" t="shared" si="2" ref="G35:L35">G23+G34</f>
        <v>0</v>
      </c>
      <c r="H35" s="358"/>
      <c r="I35" s="462">
        <f t="shared" si="2"/>
        <v>0</v>
      </c>
      <c r="J35" s="462">
        <f t="shared" si="2"/>
        <v>0</v>
      </c>
      <c r="K35" s="335">
        <f t="shared" si="2"/>
        <v>0</v>
      </c>
      <c r="L35" s="462">
        <f t="shared" si="2"/>
        <v>0</v>
      </c>
      <c r="M35" s="197"/>
      <c r="N35" s="686" t="s">
        <v>423</v>
      </c>
      <c r="O35" s="687"/>
      <c r="P35" s="434"/>
      <c r="Q35" s="440"/>
      <c r="R35" s="458"/>
      <c r="S35" s="458"/>
      <c r="T35" s="458"/>
      <c r="U35" s="458"/>
      <c r="V35" s="458"/>
      <c r="W35" s="458"/>
      <c r="X35" s="458"/>
      <c r="Y35" s="458"/>
      <c r="Z35" s="458"/>
      <c r="AA35" s="349"/>
    </row>
    <row r="36" spans="17:27" s="127" customFormat="1" ht="16.5" customHeight="1">
      <c r="Q36" s="445"/>
      <c r="R36" s="458"/>
      <c r="S36" s="458"/>
      <c r="T36" s="458"/>
      <c r="U36" s="458"/>
      <c r="V36" s="458"/>
      <c r="W36" s="458"/>
      <c r="X36" s="458"/>
      <c r="Y36" s="458"/>
      <c r="Z36" s="458"/>
      <c r="AA36" s="350"/>
    </row>
    <row r="37" spans="1:27" s="127" customFormat="1" ht="16.5" customHeight="1">
      <c r="A37" s="624" t="s">
        <v>422</v>
      </c>
      <c r="B37" s="625"/>
      <c r="C37" s="625"/>
      <c r="D37" s="626"/>
      <c r="F37" s="405" t="s">
        <v>332</v>
      </c>
      <c r="Q37" s="445"/>
      <c r="R37" s="350"/>
      <c r="S37" s="350"/>
      <c r="T37" s="350"/>
      <c r="U37" s="350"/>
      <c r="V37" s="350"/>
      <c r="W37" s="350"/>
      <c r="X37" s="459"/>
      <c r="Y37" s="350"/>
      <c r="Z37" s="350"/>
      <c r="AA37" s="350"/>
    </row>
    <row r="38" spans="1:24" s="127" customFormat="1" ht="16.5" customHeight="1">
      <c r="A38" s="627"/>
      <c r="B38" s="628"/>
      <c r="C38" s="628"/>
      <c r="D38" s="629"/>
      <c r="Q38" s="445"/>
      <c r="R38" s="350"/>
      <c r="S38" s="350"/>
      <c r="T38" s="350"/>
      <c r="U38" s="350"/>
      <c r="V38" s="350"/>
      <c r="W38" s="350"/>
      <c r="X38"/>
    </row>
    <row r="39" spans="1:24" s="127" customFormat="1" ht="16.5" customHeight="1">
      <c r="A39" s="627"/>
      <c r="B39" s="628"/>
      <c r="C39" s="628"/>
      <c r="D39" s="629"/>
      <c r="F39" s="397"/>
      <c r="G39" s="397"/>
      <c r="H39" s="398"/>
      <c r="I39" s="398"/>
      <c r="J39" s="406"/>
      <c r="K39" s="406"/>
      <c r="L39" s="406"/>
      <c r="M39" s="406"/>
      <c r="N39" s="688">
        <f ca="1">TODAY()</f>
        <v>45103</v>
      </c>
      <c r="O39" s="688"/>
      <c r="Q39" s="445"/>
      <c r="R39" s="350"/>
      <c r="S39" s="350"/>
      <c r="T39" s="350"/>
      <c r="U39" s="350"/>
      <c r="V39" s="350"/>
      <c r="W39" s="350"/>
      <c r="X39"/>
    </row>
    <row r="40" spans="1:24" s="127" customFormat="1" ht="16.5" customHeight="1">
      <c r="A40" s="627"/>
      <c r="B40" s="628"/>
      <c r="C40" s="628"/>
      <c r="D40" s="629"/>
      <c r="F40" s="409" t="s">
        <v>336</v>
      </c>
      <c r="G40" s="410"/>
      <c r="H40" s="623"/>
      <c r="I40" s="623"/>
      <c r="J40" s="411"/>
      <c r="K40" s="407"/>
      <c r="N40" s="409" t="s">
        <v>406</v>
      </c>
      <c r="O40" s="409"/>
      <c r="Q40" s="445"/>
      <c r="R40" s="350"/>
      <c r="S40" s="350"/>
      <c r="T40" s="350"/>
      <c r="U40" s="350"/>
      <c r="V40" s="350"/>
      <c r="W40" s="350"/>
      <c r="X40"/>
    </row>
    <row r="41" spans="1:24" s="127" customFormat="1" ht="16.5" customHeight="1">
      <c r="A41" s="627"/>
      <c r="B41" s="628"/>
      <c r="C41" s="628"/>
      <c r="D41" s="629"/>
      <c r="Q41" s="445"/>
      <c r="R41" s="350"/>
      <c r="S41" s="350"/>
      <c r="T41" s="350"/>
      <c r="U41" s="350"/>
      <c r="V41" s="350"/>
      <c r="W41" s="350"/>
      <c r="X41"/>
    </row>
    <row r="42" spans="1:24" s="127" customFormat="1" ht="16.5" customHeight="1">
      <c r="A42" s="627"/>
      <c r="B42" s="628"/>
      <c r="C42" s="628"/>
      <c r="D42" s="629"/>
      <c r="F42" s="397"/>
      <c r="G42" s="397"/>
      <c r="H42" s="398"/>
      <c r="I42" s="398"/>
      <c r="J42" s="406"/>
      <c r="K42" s="406"/>
      <c r="L42" s="406"/>
      <c r="M42" s="406"/>
      <c r="N42" s="688"/>
      <c r="O42" s="688"/>
      <c r="Q42" s="445"/>
      <c r="R42" s="350"/>
      <c r="S42" s="350"/>
      <c r="T42" s="350"/>
      <c r="U42" s="350"/>
      <c r="V42" s="350"/>
      <c r="W42" s="350"/>
      <c r="X42"/>
    </row>
    <row r="43" spans="1:23" s="127" customFormat="1" ht="16.5" customHeight="1">
      <c r="A43" s="627"/>
      <c r="B43" s="628"/>
      <c r="C43" s="628"/>
      <c r="D43" s="629"/>
      <c r="F43" s="409" t="s">
        <v>337</v>
      </c>
      <c r="G43" s="410"/>
      <c r="H43" s="623"/>
      <c r="I43" s="623"/>
      <c r="J43" s="411"/>
      <c r="K43" s="407"/>
      <c r="N43" s="409" t="s">
        <v>406</v>
      </c>
      <c r="O43" s="409"/>
      <c r="Q43" s="445"/>
      <c r="R43" s="350"/>
      <c r="S43" s="350"/>
      <c r="T43" s="350"/>
      <c r="U43" s="350"/>
      <c r="V43" s="350"/>
      <c r="W43" s="350"/>
    </row>
    <row r="44" spans="1:23" s="127" customFormat="1" ht="16.5" customHeight="1">
      <c r="A44" s="627"/>
      <c r="B44" s="628"/>
      <c r="C44" s="628"/>
      <c r="D44" s="629"/>
      <c r="Q44" s="445"/>
      <c r="R44" s="350"/>
      <c r="S44" s="350"/>
      <c r="T44" s="350"/>
      <c r="U44" s="350"/>
      <c r="V44" s="350"/>
      <c r="W44" s="350"/>
    </row>
    <row r="45" spans="1:23" s="127" customFormat="1" ht="16.5" customHeight="1">
      <c r="A45" s="627"/>
      <c r="B45" s="628"/>
      <c r="C45" s="628"/>
      <c r="D45" s="629"/>
      <c r="F45" s="397"/>
      <c r="G45" s="397"/>
      <c r="H45" s="398"/>
      <c r="I45" s="398"/>
      <c r="J45" s="406"/>
      <c r="K45" s="406"/>
      <c r="L45" s="406"/>
      <c r="M45" s="406"/>
      <c r="N45" s="688"/>
      <c r="O45" s="688"/>
      <c r="Q45" s="445"/>
      <c r="R45" s="350"/>
      <c r="S45" s="350"/>
      <c r="T45" s="350"/>
      <c r="U45" s="350"/>
      <c r="V45" s="350"/>
      <c r="W45" s="350"/>
    </row>
    <row r="46" spans="1:23" s="127" customFormat="1" ht="15" customHeight="1">
      <c r="A46" s="630"/>
      <c r="B46" s="631"/>
      <c r="C46" s="631"/>
      <c r="D46" s="632"/>
      <c r="F46" s="409" t="s">
        <v>338</v>
      </c>
      <c r="G46" s="410"/>
      <c r="H46" s="623"/>
      <c r="I46" s="623"/>
      <c r="J46" s="411"/>
      <c r="K46" s="407"/>
      <c r="L46" s="409"/>
      <c r="M46" s="409"/>
      <c r="N46" s="409" t="s">
        <v>406</v>
      </c>
      <c r="Q46" s="445"/>
      <c r="R46" s="350"/>
      <c r="S46" s="350"/>
      <c r="T46" s="350"/>
      <c r="U46" s="350"/>
      <c r="V46" s="350"/>
      <c r="W46" s="350"/>
    </row>
    <row r="47" spans="1:23" s="61" customFormat="1" ht="12.75">
      <c r="A47" s="135" t="s">
        <v>405</v>
      </c>
      <c r="B47" s="135"/>
      <c r="C47" s="135"/>
      <c r="D47" s="135"/>
      <c r="E47" s="141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439"/>
      <c r="R47" s="65"/>
      <c r="S47" s="65"/>
      <c r="T47" s="65"/>
      <c r="U47" s="65"/>
      <c r="V47" s="65"/>
      <c r="W47" s="65"/>
    </row>
    <row r="48" spans="1:23" s="61" customFormat="1" ht="12.75">
      <c r="A48" s="135"/>
      <c r="B48" s="135"/>
      <c r="C48" s="135"/>
      <c r="D48" s="135"/>
      <c r="E48" s="141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439"/>
      <c r="R48" s="65"/>
      <c r="S48" s="65"/>
      <c r="T48" s="65"/>
      <c r="U48" s="65"/>
      <c r="V48" s="65"/>
      <c r="W48" s="65"/>
    </row>
    <row r="49" spans="1:23" s="61" customFormat="1" ht="15.75" customHeight="1">
      <c r="A49" s="647" t="s">
        <v>546</v>
      </c>
      <c r="B49" s="648"/>
      <c r="C49" s="648"/>
      <c r="D49" s="648"/>
      <c r="E49" s="648"/>
      <c r="F49" s="648"/>
      <c r="G49" s="648"/>
      <c r="H49" s="648"/>
      <c r="I49" s="648"/>
      <c r="J49" s="648"/>
      <c r="K49" s="648"/>
      <c r="L49" s="648"/>
      <c r="M49" s="648"/>
      <c r="N49" s="648"/>
      <c r="O49" s="649"/>
      <c r="P49" s="231"/>
      <c r="Q49" s="439"/>
      <c r="R49" s="65"/>
      <c r="S49" s="65"/>
      <c r="T49" s="65"/>
      <c r="U49" s="65"/>
      <c r="V49" s="65"/>
      <c r="W49" s="65"/>
    </row>
    <row r="50" spans="1:23" s="61" customFormat="1" ht="15.75" customHeight="1">
      <c r="A50" s="650"/>
      <c r="B50" s="651"/>
      <c r="C50" s="651"/>
      <c r="D50" s="651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2"/>
      <c r="P50" s="231"/>
      <c r="Q50" s="439"/>
      <c r="R50" s="65"/>
      <c r="S50" s="65"/>
      <c r="T50" s="65"/>
      <c r="U50" s="65"/>
      <c r="V50" s="65"/>
      <c r="W50" s="65"/>
    </row>
    <row r="51" spans="1:23" s="61" customFormat="1" ht="15.75" customHeight="1">
      <c r="A51" s="650"/>
      <c r="B51" s="651"/>
      <c r="C51" s="651"/>
      <c r="D51" s="651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652"/>
      <c r="P51" s="231"/>
      <c r="Q51" s="439"/>
      <c r="R51" s="65"/>
      <c r="S51" s="65"/>
      <c r="T51" s="65"/>
      <c r="U51" s="65"/>
      <c r="V51" s="65"/>
      <c r="W51" s="65"/>
    </row>
    <row r="52" spans="1:23" s="61" customFormat="1" ht="15.75" customHeight="1">
      <c r="A52" s="650"/>
      <c r="B52" s="651"/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2"/>
      <c r="P52" s="231"/>
      <c r="Q52" s="439"/>
      <c r="R52" s="65"/>
      <c r="S52" s="65"/>
      <c r="T52" s="65"/>
      <c r="U52" s="65"/>
      <c r="V52" s="65"/>
      <c r="W52" s="65"/>
    </row>
    <row r="53" spans="1:23" s="61" customFormat="1" ht="15.75" customHeight="1">
      <c r="A53" s="650"/>
      <c r="B53" s="651"/>
      <c r="C53" s="651"/>
      <c r="D53" s="651"/>
      <c r="E53" s="651"/>
      <c r="F53" s="651"/>
      <c r="G53" s="651"/>
      <c r="H53" s="651"/>
      <c r="I53" s="651"/>
      <c r="J53" s="651"/>
      <c r="K53" s="651"/>
      <c r="L53" s="651"/>
      <c r="M53" s="651"/>
      <c r="N53" s="651"/>
      <c r="O53" s="652"/>
      <c r="P53" s="231"/>
      <c r="Q53" s="439"/>
      <c r="R53" s="65"/>
      <c r="S53" s="65"/>
      <c r="T53" s="65"/>
      <c r="U53" s="65"/>
      <c r="V53" s="65"/>
      <c r="W53" s="65"/>
    </row>
    <row r="54" spans="1:23" s="61" customFormat="1" ht="15.75" customHeight="1">
      <c r="A54" s="653"/>
      <c r="B54" s="654"/>
      <c r="C54" s="654"/>
      <c r="D54" s="654"/>
      <c r="E54" s="654"/>
      <c r="F54" s="654"/>
      <c r="G54" s="654"/>
      <c r="H54" s="654"/>
      <c r="I54" s="654"/>
      <c r="J54" s="654"/>
      <c r="K54" s="654"/>
      <c r="L54" s="654"/>
      <c r="M54" s="654"/>
      <c r="N54" s="654"/>
      <c r="O54" s="655"/>
      <c r="P54" s="231"/>
      <c r="Q54" s="439"/>
      <c r="R54" s="65"/>
      <c r="S54" s="65"/>
      <c r="T54" s="65"/>
      <c r="U54" s="65"/>
      <c r="V54" s="65"/>
      <c r="W54" s="65"/>
    </row>
    <row r="55" spans="6:23" s="135" customFormat="1" ht="12.75"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440"/>
      <c r="R55" s="349"/>
      <c r="S55" s="349"/>
      <c r="T55" s="349"/>
      <c r="U55" s="349"/>
      <c r="V55" s="349"/>
      <c r="W55" s="349"/>
    </row>
    <row r="56" spans="1:23" s="135" customFormat="1" ht="15.75">
      <c r="A56" s="221" t="s">
        <v>414</v>
      </c>
      <c r="B56" s="193"/>
      <c r="C56" s="642">
        <f>IF($K$6="Click Here for Drop-Down Menu","",VLOOKUP($K$6,'Timesheet Periods'!$A$7:$E$113,5,))</f>
      </c>
      <c r="D56" s="642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440"/>
      <c r="R56" s="349"/>
      <c r="S56" s="349"/>
      <c r="T56" s="349"/>
      <c r="U56" s="349"/>
      <c r="V56" s="349"/>
      <c r="W56" s="349"/>
    </row>
    <row r="57" spans="1:23" s="135" customFormat="1" ht="15.75">
      <c r="A57" s="221"/>
      <c r="B57" s="193"/>
      <c r="C57" s="643"/>
      <c r="D57" s="644"/>
      <c r="E57" s="349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440"/>
      <c r="R57" s="349"/>
      <c r="S57" s="349"/>
      <c r="T57" s="349"/>
      <c r="U57" s="349"/>
      <c r="V57" s="349"/>
      <c r="W57" s="349"/>
    </row>
    <row r="58" spans="6:17" s="135" customFormat="1" ht="6" customHeight="1"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349"/>
    </row>
    <row r="59" spans="6:17" s="135" customFormat="1" ht="12.75"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349"/>
    </row>
  </sheetData>
  <sheetProtection password="E508" sheet="1" objects="1" scenarios="1" selectLockedCells="1"/>
  <mergeCells count="70">
    <mergeCell ref="R28:X34"/>
    <mergeCell ref="A2:O2"/>
    <mergeCell ref="N12:O12"/>
    <mergeCell ref="F12:I12"/>
    <mergeCell ref="K12:L12"/>
    <mergeCell ref="A14:H14"/>
    <mergeCell ref="A25:H25"/>
    <mergeCell ref="D15:E15"/>
    <mergeCell ref="N14:O14"/>
    <mergeCell ref="N23:O23"/>
    <mergeCell ref="B11:E11"/>
    <mergeCell ref="G4:H4"/>
    <mergeCell ref="H6:J6"/>
    <mergeCell ref="G1:H1"/>
    <mergeCell ref="N42:O42"/>
    <mergeCell ref="N45:O45"/>
    <mergeCell ref="H43:I43"/>
    <mergeCell ref="K9:O9"/>
    <mergeCell ref="K10:O10"/>
    <mergeCell ref="K11:O11"/>
    <mergeCell ref="N39:O39"/>
    <mergeCell ref="D26:E26"/>
    <mergeCell ref="N26:O26"/>
    <mergeCell ref="N27:O27"/>
    <mergeCell ref="E23:F23"/>
    <mergeCell ref="I1:O1"/>
    <mergeCell ref="I3:O3"/>
    <mergeCell ref="I4:O4"/>
    <mergeCell ref="K6:O6"/>
    <mergeCell ref="G3:H3"/>
    <mergeCell ref="N15:O15"/>
    <mergeCell ref="E34:F34"/>
    <mergeCell ref="A35:F35"/>
    <mergeCell ref="N32:O32"/>
    <mergeCell ref="N33:O33"/>
    <mergeCell ref="N34:O34"/>
    <mergeCell ref="N35:O35"/>
    <mergeCell ref="N17:O17"/>
    <mergeCell ref="N18:O18"/>
    <mergeCell ref="N19:O19"/>
    <mergeCell ref="N20:O20"/>
    <mergeCell ref="N25:O25"/>
    <mergeCell ref="N22:O22"/>
    <mergeCell ref="N21:O21"/>
    <mergeCell ref="Y5:AC5"/>
    <mergeCell ref="Q1:W1"/>
    <mergeCell ref="R2:W2"/>
    <mergeCell ref="R9:V9"/>
    <mergeCell ref="Q4:U4"/>
    <mergeCell ref="R3:V3"/>
    <mergeCell ref="N16:O16"/>
    <mergeCell ref="G15:H15"/>
    <mergeCell ref="B12:E12"/>
    <mergeCell ref="J7:N7"/>
    <mergeCell ref="N30:O30"/>
    <mergeCell ref="G26:H26"/>
    <mergeCell ref="I25:M25"/>
    <mergeCell ref="I14:M14"/>
    <mergeCell ref="N28:O28"/>
    <mergeCell ref="N29:O29"/>
    <mergeCell ref="H40:I40"/>
    <mergeCell ref="A37:D46"/>
    <mergeCell ref="A3:E8"/>
    <mergeCell ref="C56:D56"/>
    <mergeCell ref="C57:D57"/>
    <mergeCell ref="B9:E9"/>
    <mergeCell ref="B10:E10"/>
    <mergeCell ref="A49:O54"/>
    <mergeCell ref="H46:I46"/>
    <mergeCell ref="N31:O31"/>
  </mergeCells>
  <dataValidations count="6">
    <dataValidation type="time" allowBlank="1" showInputMessage="1" showErrorMessage="1" errorTitle="Invalid Entry" error="Please enter time in military time format between 0:00 and 23:59 (1:00, 8:00, 13:00, 20:00, etc.)." sqref="C16:F22 C27:F33">
      <formula1>0</formula1>
      <formula2>0.9993055555555556</formula2>
    </dataValidation>
    <dataValidation type="list" allowBlank="1" showInputMessage="1" showErrorMessage="1" promptTitle="Title" prompt="&#10;Select your title from the drop-down menu." sqref="I4:O4">
      <formula1>HEOCSTitles</formula1>
    </dataValidation>
    <dataValidation type="list" allowBlank="1" showInputMessage="1" showErrorMessage="1" promptTitle="CUNY College" prompt="&#10;Select your college from the drop-down menu." sqref="I1:O1">
      <formula1>CUNY_Colleges</formula1>
    </dataValidation>
    <dataValidation type="list" allowBlank="1" showInputMessage="1" showErrorMessage="1" promptTitle="Timesheet Pay Period" prompt="&#10;Select the Timesheet Pay Period from the dropdown menu.&#10;&#10;Dates and days will be autopopulated once you have selected the pay period.&#10;" sqref="K6:O6">
      <formula1>PayPeriod</formula1>
    </dataValidation>
    <dataValidation type="list" allowBlank="1" showInputMessage="1" showErrorMessage="1" promptTitle="Select Code from Dropdown Menu" prompt="HS -&gt; Health Screening&#10;JD -&gt; Jury Duty&#10;BL -&gt; Bereavement&#10;SE -&gt; Snow Emergency&#10;CCL -&gt; Child Care Leave&#10;FML -&gt; Family Medical Leave&#10;LWOP -&gt; Leave w/o Pay&#10;ML -&gt; Military Leave&#10;PPL -&gt; Paid Parental Leave&#10;UL -&gt; Unauthorized Leave&#10;WC -&gt; Worker's Compensation" sqref="M27:M33">
      <formula1>FTLeave</formula1>
    </dataValidation>
    <dataValidation type="list" allowBlank="1" showInputMessage="1" showErrorMessage="1" promptTitle="Select Code from Dropdown Menu" prompt="HS -&gt; Health Screening&#10;JD -&gt; Jury Duty&#10;BL -&gt; Bereavement&#10;SE -&gt; Snow Emergency&#10;CCL -&gt; Child Care Leave&#10;FML -&gt; Family Medical Leave&#10;LWOP -&gt; Leave w/o Pay&#10;ML -&gt; Military Leave&#10;PPL -&gt; Paid Parental Leave&#10;UL -&gt; Unauthorized Leave&#10;WC -&gt; Worker's Compensation" sqref="M16:M22">
      <formula1>FTLeave</formula1>
    </dataValidation>
  </dataValidations>
  <hyperlinks>
    <hyperlink ref="R2:W2" r:id="rId1" display="                           HEO Request for Overtime/Compensatory Time"/>
  </hyperlinks>
  <printOptions horizontalCentered="1"/>
  <pageMargins left="0.5" right="0.5" top="0.5" bottom="0.5" header="0.3" footer="0.3"/>
  <pageSetup fitToHeight="1" fitToWidth="1" horizontalDpi="600" verticalDpi="600" orientation="portrait" scale="63" r:id="rId5"/>
  <ignoredErrors>
    <ignoredError sqref="J23:K23 K34" formula="1"/>
  </ignoredErrors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F204"/>
  <sheetViews>
    <sheetView showGridLines="0" zoomScalePageLayoutView="0" workbookViewId="0" topLeftCell="L5">
      <selection activeCell="K8" sqref="K8:P8"/>
    </sheetView>
  </sheetViews>
  <sheetFormatPr defaultColWidth="9.140625" defaultRowHeight="12.75"/>
  <cols>
    <col min="1" max="1" width="17.00390625" style="24" customWidth="1"/>
    <col min="2" max="2" width="13.7109375" style="24" customWidth="1"/>
    <col min="3" max="4" width="10.8515625" style="24" customWidth="1"/>
    <col min="5" max="5" width="11.28125" style="24" customWidth="1"/>
    <col min="6" max="6" width="10.7109375" style="24" customWidth="1"/>
    <col min="7" max="7" width="12.8515625" style="24" customWidth="1"/>
    <col min="8" max="8" width="11.140625" style="24" customWidth="1"/>
    <col min="9" max="9" width="10.140625" style="24" customWidth="1"/>
    <col min="10" max="10" width="9.421875" style="24" customWidth="1"/>
    <col min="11" max="11" width="25.140625" style="24" hidden="1" customWidth="1"/>
    <col min="12" max="12" width="16.421875" style="24" bestFit="1" customWidth="1"/>
    <col min="13" max="13" width="13.421875" style="24" customWidth="1"/>
    <col min="14" max="14" width="0.13671875" style="24" hidden="1" customWidth="1"/>
    <col min="15" max="15" width="17.57421875" style="24" customWidth="1"/>
    <col min="16" max="16" width="12.8515625" style="24" customWidth="1"/>
    <col min="17" max="17" width="2.140625" style="63" customWidth="1"/>
    <col min="18" max="20" width="9.140625" style="61" customWidth="1"/>
    <col min="21" max="21" width="23.28125" style="61" customWidth="1"/>
    <col min="22" max="22" width="14.57421875" style="61" customWidth="1"/>
    <col min="23" max="32" width="9.140625" style="61" customWidth="1"/>
    <col min="33" max="16384" width="9.140625" style="24" customWidth="1"/>
  </cols>
  <sheetData>
    <row r="1" spans="1:21" s="61" customFormat="1" ht="15.75" customHeight="1">
      <c r="A1" s="64"/>
      <c r="B1" s="64"/>
      <c r="C1" s="64"/>
      <c r="D1" s="64"/>
      <c r="E1" s="64"/>
      <c r="F1" s="64"/>
      <c r="G1" s="218"/>
      <c r="H1" s="192" t="s">
        <v>485</v>
      </c>
      <c r="I1" s="483"/>
      <c r="J1" s="192" t="s">
        <v>482</v>
      </c>
      <c r="K1" s="87"/>
      <c r="L1" s="145" t="s">
        <v>247</v>
      </c>
      <c r="M1" s="145" t="s">
        <v>247</v>
      </c>
      <c r="N1" s="88" t="s">
        <v>245</v>
      </c>
      <c r="O1" s="192" t="s">
        <v>270</v>
      </c>
      <c r="P1" s="145" t="s">
        <v>248</v>
      </c>
      <c r="Q1" s="338"/>
      <c r="R1" s="465" t="s">
        <v>461</v>
      </c>
      <c r="S1" s="466"/>
      <c r="T1" s="466"/>
      <c r="U1" s="466"/>
    </row>
    <row r="2" spans="1:31" s="61" customFormat="1" ht="12" customHeight="1">
      <c r="A2" s="64"/>
      <c r="B2" s="64"/>
      <c r="C2" s="64"/>
      <c r="D2" s="64"/>
      <c r="E2" s="64"/>
      <c r="F2" s="64"/>
      <c r="G2" s="493" t="s">
        <v>486</v>
      </c>
      <c r="H2" s="492"/>
      <c r="I2" s="492"/>
      <c r="J2" s="492"/>
      <c r="K2" s="740" t="s">
        <v>162</v>
      </c>
      <c r="L2" s="740"/>
      <c r="M2" s="740"/>
      <c r="N2" s="740"/>
      <c r="O2" s="740"/>
      <c r="P2" s="740"/>
      <c r="Q2" s="338"/>
      <c r="AA2" s="739"/>
      <c r="AB2" s="739"/>
      <c r="AC2" s="739"/>
      <c r="AD2" s="739"/>
      <c r="AE2" s="739"/>
    </row>
    <row r="3" spans="1:31" s="61" customFormat="1" ht="41.25" customHeight="1">
      <c r="A3" s="605" t="s">
        <v>464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338"/>
      <c r="AA3" s="739"/>
      <c r="AB3" s="739"/>
      <c r="AC3" s="739"/>
      <c r="AD3" s="739"/>
      <c r="AE3" s="739"/>
    </row>
    <row r="4" spans="1:17" s="61" customFormat="1" ht="27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338"/>
    </row>
    <row r="5" spans="1:17" s="61" customFormat="1" ht="18.75" customHeight="1">
      <c r="A5" s="726" t="s">
        <v>487</v>
      </c>
      <c r="B5" s="727"/>
      <c r="C5" s="727"/>
      <c r="D5" s="727"/>
      <c r="E5" s="728"/>
      <c r="F5" s="64"/>
      <c r="G5" s="256"/>
      <c r="H5" s="64"/>
      <c r="I5" s="64"/>
      <c r="J5" s="64"/>
      <c r="K5" s="64"/>
      <c r="L5" s="64"/>
      <c r="M5" s="64"/>
      <c r="N5" s="64"/>
      <c r="O5" s="64"/>
      <c r="P5" s="64"/>
      <c r="Q5" s="338"/>
    </row>
    <row r="6" spans="1:17" s="61" customFormat="1" ht="2.25" customHeight="1" hidden="1">
      <c r="A6" s="729"/>
      <c r="B6" s="730"/>
      <c r="C6" s="730"/>
      <c r="D6" s="730"/>
      <c r="E6" s="731"/>
      <c r="F6" s="64"/>
      <c r="G6" s="64"/>
      <c r="H6" s="64"/>
      <c r="I6" s="64"/>
      <c r="J6" s="64"/>
      <c r="K6" s="64"/>
      <c r="L6" s="86" t="s">
        <v>497</v>
      </c>
      <c r="M6" s="86"/>
      <c r="N6" s="64"/>
      <c r="O6" s="64"/>
      <c r="P6" s="64"/>
      <c r="Q6" s="338"/>
    </row>
    <row r="7" spans="1:19" s="65" customFormat="1" ht="23.25" customHeight="1" hidden="1">
      <c r="A7" s="729"/>
      <c r="B7" s="730"/>
      <c r="C7" s="730"/>
      <c r="D7" s="730"/>
      <c r="E7" s="731"/>
      <c r="F7" s="385"/>
      <c r="G7" s="385"/>
      <c r="H7" s="385"/>
      <c r="I7" s="66"/>
      <c r="J7" s="476"/>
      <c r="K7" s="66"/>
      <c r="L7" s="516" t="e">
        <f>VLOOKUP(Title,Codes!O17:U33,7,0)</f>
        <v>#N/A</v>
      </c>
      <c r="M7" s="66"/>
      <c r="N7" s="66"/>
      <c r="O7" s="66"/>
      <c r="P7" s="66"/>
      <c r="Q7" s="338"/>
      <c r="S7"/>
    </row>
    <row r="8" spans="1:17" ht="24.75" customHeight="1">
      <c r="A8" s="729"/>
      <c r="B8" s="730"/>
      <c r="C8" s="730"/>
      <c r="D8" s="730"/>
      <c r="E8" s="731"/>
      <c r="F8" s="219"/>
      <c r="G8" s="219"/>
      <c r="H8" s="135"/>
      <c r="I8" s="697" t="s">
        <v>275</v>
      </c>
      <c r="J8" s="697"/>
      <c r="K8" s="741" t="s">
        <v>161</v>
      </c>
      <c r="L8" s="741"/>
      <c r="M8" s="741"/>
      <c r="N8" s="741"/>
      <c r="O8" s="741"/>
      <c r="P8" s="741"/>
      <c r="Q8" s="338"/>
    </row>
    <row r="9" spans="1:17" ht="15.75" customHeight="1">
      <c r="A9" s="729"/>
      <c r="B9" s="730"/>
      <c r="C9" s="730"/>
      <c r="D9" s="730"/>
      <c r="E9" s="731"/>
      <c r="F9" s="221"/>
      <c r="G9" s="221"/>
      <c r="H9" s="221"/>
      <c r="I9" s="89" t="s">
        <v>32</v>
      </c>
      <c r="J9" s="89"/>
      <c r="K9" s="32"/>
      <c r="L9" s="721" t="s">
        <v>162</v>
      </c>
      <c r="M9" s="721"/>
      <c r="N9" s="721"/>
      <c r="O9" s="721"/>
      <c r="P9" s="721"/>
      <c r="Q9" s="338"/>
    </row>
    <row r="10" spans="1:27" ht="23.25" customHeight="1">
      <c r="A10" s="729"/>
      <c r="B10" s="730"/>
      <c r="C10" s="730"/>
      <c r="D10" s="730"/>
      <c r="E10" s="731"/>
      <c r="F10" s="219"/>
      <c r="G10" s="135"/>
      <c r="H10" s="219"/>
      <c r="I10" s="697" t="s">
        <v>274</v>
      </c>
      <c r="J10" s="697"/>
      <c r="K10" s="741" t="s">
        <v>161</v>
      </c>
      <c r="L10" s="741"/>
      <c r="M10" s="741"/>
      <c r="N10" s="741"/>
      <c r="O10" s="741"/>
      <c r="P10" s="741"/>
      <c r="Q10" s="338"/>
      <c r="W10" s="722"/>
      <c r="X10" s="723"/>
      <c r="Y10" s="723"/>
      <c r="Z10" s="723"/>
      <c r="AA10" s="723"/>
    </row>
    <row r="11" spans="1:28" s="61" customFormat="1" ht="20.25" customHeight="1">
      <c r="A11" s="732"/>
      <c r="B11" s="733"/>
      <c r="C11" s="733"/>
      <c r="D11" s="733"/>
      <c r="E11" s="734"/>
      <c r="F11" s="135"/>
      <c r="G11" s="135"/>
      <c r="H11" s="194"/>
      <c r="I11" s="90"/>
      <c r="J11" s="90"/>
      <c r="L11" s="721" t="s">
        <v>162</v>
      </c>
      <c r="M11" s="721"/>
      <c r="N11" s="721"/>
      <c r="O11" s="721"/>
      <c r="P11" s="721"/>
      <c r="Q11" s="338"/>
      <c r="R11" s="724" t="s">
        <v>302</v>
      </c>
      <c r="S11" s="725"/>
      <c r="T11" s="725"/>
      <c r="U11" s="725"/>
      <c r="V11" s="720"/>
      <c r="W11" s="720"/>
      <c r="X11" s="720"/>
      <c r="Y11" s="720"/>
      <c r="Z11" s="720"/>
      <c r="AA11" s="720"/>
      <c r="AB11" s="336"/>
    </row>
    <row r="12" spans="1:28" ht="32.25" customHeight="1" thickBot="1">
      <c r="A12" s="242" t="s">
        <v>165</v>
      </c>
      <c r="B12" s="719"/>
      <c r="C12" s="719"/>
      <c r="D12" s="719"/>
      <c r="E12" s="719"/>
      <c r="F12" s="393"/>
      <c r="G12" s="342"/>
      <c r="H12" s="718" t="s">
        <v>459</v>
      </c>
      <c r="I12" s="718"/>
      <c r="J12" s="718"/>
      <c r="K12" s="718"/>
      <c r="L12" s="699"/>
      <c r="M12" s="699"/>
      <c r="N12" s="699"/>
      <c r="O12" s="699"/>
      <c r="P12" s="699"/>
      <c r="Q12" s="338"/>
      <c r="R12" s="724"/>
      <c r="S12" s="725"/>
      <c r="T12" s="725"/>
      <c r="U12" s="725"/>
      <c r="V12" s="720"/>
      <c r="W12" s="720"/>
      <c r="X12" s="720"/>
      <c r="Y12" s="720"/>
      <c r="Z12" s="720"/>
      <c r="AA12" s="720"/>
      <c r="AB12" s="336"/>
    </row>
    <row r="13" spans="1:17" ht="15" customHeight="1" thickBot="1">
      <c r="A13" s="232" t="s">
        <v>197</v>
      </c>
      <c r="B13" s="646"/>
      <c r="C13" s="646"/>
      <c r="D13" s="646"/>
      <c r="E13" s="646"/>
      <c r="F13" s="393"/>
      <c r="G13" s="135"/>
      <c r="H13" s="718" t="s">
        <v>458</v>
      </c>
      <c r="I13" s="718"/>
      <c r="J13" s="718"/>
      <c r="K13" s="718"/>
      <c r="L13" s="699"/>
      <c r="M13" s="699"/>
      <c r="N13" s="699"/>
      <c r="O13" s="699"/>
      <c r="P13" s="699"/>
      <c r="Q13" s="338"/>
    </row>
    <row r="14" spans="1:17" ht="15" customHeight="1" thickBot="1">
      <c r="A14" s="232" t="s">
        <v>166</v>
      </c>
      <c r="B14" s="646"/>
      <c r="C14" s="646"/>
      <c r="D14" s="646"/>
      <c r="E14" s="646"/>
      <c r="F14" s="393"/>
      <c r="G14" s="135"/>
      <c r="H14" s="718" t="s">
        <v>163</v>
      </c>
      <c r="I14" s="718"/>
      <c r="J14" s="718"/>
      <c r="K14" s="384" t="s">
        <v>163</v>
      </c>
      <c r="L14" s="646"/>
      <c r="M14" s="646"/>
      <c r="N14" s="646"/>
      <c r="O14" s="646"/>
      <c r="P14" s="646"/>
      <c r="Q14" s="338"/>
    </row>
    <row r="15" spans="1:22" ht="15.75" customHeight="1" thickBot="1">
      <c r="A15" s="232" t="s">
        <v>167</v>
      </c>
      <c r="B15" s="646"/>
      <c r="C15" s="646"/>
      <c r="D15" s="646"/>
      <c r="E15" s="646"/>
      <c r="F15" s="393"/>
      <c r="G15" s="135"/>
      <c r="H15" s="718" t="s">
        <v>164</v>
      </c>
      <c r="I15" s="718"/>
      <c r="J15" s="718"/>
      <c r="K15" s="384" t="s">
        <v>164</v>
      </c>
      <c r="L15" s="646"/>
      <c r="M15" s="646"/>
      <c r="N15" s="646"/>
      <c r="O15" s="646"/>
      <c r="P15" s="646"/>
      <c r="Q15" s="338"/>
      <c r="V15" s="576">
        <f>IF($C$64="N/A","N/A",L19)</f>
        <v>0</v>
      </c>
    </row>
    <row r="16" spans="1:32" s="193" customFormat="1" ht="21" customHeight="1" thickBot="1">
      <c r="A16" s="135"/>
      <c r="B16" s="388"/>
      <c r="C16" s="389"/>
      <c r="D16" s="386"/>
      <c r="E16" s="386"/>
      <c r="F16" s="386"/>
      <c r="G16" s="386"/>
      <c r="H16" s="135"/>
      <c r="I16" s="135"/>
      <c r="J16" s="135"/>
      <c r="K16" s="387"/>
      <c r="L16" s="390"/>
      <c r="M16" s="390"/>
      <c r="N16" s="391"/>
      <c r="O16" s="391"/>
      <c r="P16" s="391"/>
      <c r="Q16" s="392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</row>
    <row r="17" spans="1:31" s="139" customFormat="1" ht="16.5" customHeight="1" thickBot="1">
      <c r="A17" s="748" t="s">
        <v>107</v>
      </c>
      <c r="B17" s="749"/>
      <c r="C17" s="749"/>
      <c r="D17" s="749"/>
      <c r="E17" s="749"/>
      <c r="F17" s="749"/>
      <c r="G17" s="749"/>
      <c r="H17" s="749"/>
      <c r="I17" s="747" t="s">
        <v>281</v>
      </c>
      <c r="J17" s="747"/>
      <c r="K17" s="374"/>
      <c r="L17" s="750" t="s">
        <v>188</v>
      </c>
      <c r="M17" s="751"/>
      <c r="N17" s="752"/>
      <c r="O17" s="737" t="s">
        <v>158</v>
      </c>
      <c r="P17" s="738"/>
      <c r="Q17" s="61"/>
      <c r="R17" s="61"/>
      <c r="S17" s="61"/>
      <c r="T17" s="61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</row>
    <row r="18" spans="1:32" s="25" customFormat="1" ht="46.5" customHeight="1">
      <c r="A18" s="237" t="s">
        <v>0</v>
      </c>
      <c r="B18" s="238" t="s">
        <v>8</v>
      </c>
      <c r="C18" s="238" t="s">
        <v>33</v>
      </c>
      <c r="D18" s="238" t="s">
        <v>289</v>
      </c>
      <c r="E18" s="238" t="s">
        <v>221</v>
      </c>
      <c r="F18" s="239" t="s">
        <v>34</v>
      </c>
      <c r="G18" s="735" t="s">
        <v>9</v>
      </c>
      <c r="H18" s="736"/>
      <c r="I18" s="144" t="s">
        <v>300</v>
      </c>
      <c r="J18" s="346" t="s">
        <v>301</v>
      </c>
      <c r="K18" s="237" t="s">
        <v>273</v>
      </c>
      <c r="L18" s="522" t="s">
        <v>268</v>
      </c>
      <c r="M18" s="523" t="s">
        <v>268</v>
      </c>
      <c r="N18" s="241" t="s">
        <v>273</v>
      </c>
      <c r="O18" s="238" t="s">
        <v>268</v>
      </c>
      <c r="P18" s="240" t="s">
        <v>276</v>
      </c>
      <c r="Q18" s="340"/>
      <c r="R18" s="61"/>
      <c r="S18" s="61"/>
      <c r="T18" s="61"/>
      <c r="U18" s="61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</row>
    <row r="19" spans="1:22" ht="16.5" customHeight="1">
      <c r="A19" s="243" t="s">
        <v>2</v>
      </c>
      <c r="B19" s="257">
        <f>IF(K10="Click Here for Drop-Down Menu","",VLOOKUP($K$10,'Timesheet Periods'!$A$161:$B$423,2,))</f>
      </c>
      <c r="C19" s="380"/>
      <c r="D19" s="381"/>
      <c r="E19" s="381"/>
      <c r="F19" s="382"/>
      <c r="G19" s="485">
        <f>'Rounding-Time'!G37*24</f>
        <v>0</v>
      </c>
      <c r="H19" s="383">
        <f>IF(Holidays!C41="Holiday","Holiday","")</f>
      </c>
      <c r="I19" s="244"/>
      <c r="J19" s="504"/>
      <c r="K19" s="505" t="e">
        <f aca="true" t="shared" si="0" ref="K19:K25">IF(P19="Y",N19,0)</f>
        <v>#REF!</v>
      </c>
      <c r="L19" s="562">
        <f>'Rounding-Time'!G47</f>
        <v>0</v>
      </c>
      <c r="M19" s="562">
        <f>IF($C$64="N/A","N/A",L19)</f>
        <v>0</v>
      </c>
      <c r="N19" s="245" t="e">
        <f>'Rounding-Time'!U2</f>
        <v>#REF!</v>
      </c>
      <c r="O19" s="246" t="str">
        <f>IF(C19&lt;TIME(18,0,0),"Prior",IF(C19&gt;=TIME(18,0,0),"After","0"))</f>
        <v>Prior</v>
      </c>
      <c r="P19" s="513" t="s">
        <v>267</v>
      </c>
      <c r="Q19" s="337"/>
      <c r="V19" s="371"/>
    </row>
    <row r="20" spans="1:17" ht="16.5" customHeight="1">
      <c r="A20" s="247" t="s">
        <v>3</v>
      </c>
      <c r="B20" s="258">
        <f aca="true" t="shared" si="1" ref="B20:B25">IF(B19="","",B19+1)</f>
      </c>
      <c r="C20" s="380"/>
      <c r="D20" s="381"/>
      <c r="E20" s="381"/>
      <c r="F20" s="382"/>
      <c r="G20" s="485">
        <f>'Rounding-Time'!G38*24</f>
        <v>0</v>
      </c>
      <c r="H20" s="383">
        <f>IF(Holidays!C42="Holiday","Holiday","")</f>
      </c>
      <c r="I20" s="244"/>
      <c r="J20" s="504"/>
      <c r="K20" s="506" t="e">
        <f t="shared" si="0"/>
        <v>#REF!</v>
      </c>
      <c r="L20" s="562">
        <f>'Rounding-Time'!G48</f>
        <v>0</v>
      </c>
      <c r="M20" s="562">
        <f aca="true" t="shared" si="2" ref="M20:M25">IF($C$64="N/A","N/A",L20)</f>
        <v>0</v>
      </c>
      <c r="N20" s="248" t="e">
        <f>'Rounding-Time'!U3</f>
        <v>#REF!</v>
      </c>
      <c r="O20" s="246" t="str">
        <f aca="true" t="shared" si="3" ref="O20:O25">IF(C20&lt;TIME(18,0,0),"Prior",IF(C20&gt;=TIME(18,0,0),"After","0"))</f>
        <v>Prior</v>
      </c>
      <c r="P20" s="514" t="s">
        <v>267</v>
      </c>
      <c r="Q20" s="337"/>
    </row>
    <row r="21" spans="1:22" ht="16.5" customHeight="1">
      <c r="A21" s="247" t="s">
        <v>4</v>
      </c>
      <c r="B21" s="258">
        <f t="shared" si="1"/>
      </c>
      <c r="C21" s="380"/>
      <c r="D21" s="381"/>
      <c r="E21" s="381"/>
      <c r="F21" s="382"/>
      <c r="G21" s="485">
        <f>'Rounding-Time'!G39*24</f>
        <v>0</v>
      </c>
      <c r="H21" s="383">
        <f>IF(Holidays!C43="Holiday","Holiday","")</f>
      </c>
      <c r="I21" s="244"/>
      <c r="J21" s="504"/>
      <c r="K21" s="506" t="e">
        <f t="shared" si="0"/>
        <v>#REF!</v>
      </c>
      <c r="L21" s="562">
        <f>'Rounding-Time'!G49</f>
        <v>0</v>
      </c>
      <c r="M21" s="562">
        <f t="shared" si="2"/>
        <v>0</v>
      </c>
      <c r="N21" s="248" t="e">
        <f>'Rounding-Time'!U4</f>
        <v>#REF!</v>
      </c>
      <c r="O21" s="246" t="str">
        <f t="shared" si="3"/>
        <v>Prior</v>
      </c>
      <c r="P21" s="514" t="s">
        <v>267</v>
      </c>
      <c r="Q21" s="338"/>
      <c r="V21" s="92"/>
    </row>
    <row r="22" spans="1:22" ht="16.5" customHeight="1">
      <c r="A22" s="247" t="s">
        <v>5</v>
      </c>
      <c r="B22" s="258">
        <f t="shared" si="1"/>
      </c>
      <c r="C22" s="380"/>
      <c r="D22" s="381"/>
      <c r="E22" s="381"/>
      <c r="F22" s="382"/>
      <c r="G22" s="485">
        <f>'Rounding-Time'!G40*24</f>
        <v>0</v>
      </c>
      <c r="H22" s="383">
        <f>IF(Holidays!C44="Holiday","Holiday","")</f>
      </c>
      <c r="I22" s="244"/>
      <c r="J22" s="504"/>
      <c r="K22" s="506" t="e">
        <f t="shared" si="0"/>
        <v>#REF!</v>
      </c>
      <c r="L22" s="562">
        <f>'Rounding-Time'!G50</f>
        <v>0</v>
      </c>
      <c r="M22" s="562">
        <f t="shared" si="2"/>
        <v>0</v>
      </c>
      <c r="N22" s="248" t="e">
        <f>'Rounding-Time'!U5</f>
        <v>#REF!</v>
      </c>
      <c r="O22" s="246" t="str">
        <f t="shared" si="3"/>
        <v>Prior</v>
      </c>
      <c r="P22" s="514" t="s">
        <v>267</v>
      </c>
      <c r="Q22" s="338"/>
      <c r="V22" s="92"/>
    </row>
    <row r="23" spans="1:22" ht="16.5" customHeight="1">
      <c r="A23" s="247" t="s">
        <v>6</v>
      </c>
      <c r="B23" s="258">
        <f t="shared" si="1"/>
      </c>
      <c r="C23" s="380"/>
      <c r="D23" s="381"/>
      <c r="E23" s="381"/>
      <c r="F23" s="382"/>
      <c r="G23" s="485">
        <f>'Rounding-Time'!G41*24</f>
        <v>0</v>
      </c>
      <c r="H23" s="383">
        <f>IF(Holidays!C45="Holiday","Holiday","")</f>
      </c>
      <c r="I23" s="244"/>
      <c r="J23" s="504"/>
      <c r="K23" s="506" t="e">
        <f t="shared" si="0"/>
        <v>#REF!</v>
      </c>
      <c r="L23" s="562">
        <f>'Rounding-Time'!G51</f>
        <v>0</v>
      </c>
      <c r="M23" s="562">
        <f t="shared" si="2"/>
        <v>0</v>
      </c>
      <c r="N23" s="248" t="e">
        <f>'Rounding-Time'!U6</f>
        <v>#REF!</v>
      </c>
      <c r="O23" s="246" t="str">
        <f t="shared" si="3"/>
        <v>Prior</v>
      </c>
      <c r="P23" s="514" t="s">
        <v>267</v>
      </c>
      <c r="Q23" s="338"/>
      <c r="V23" s="92"/>
    </row>
    <row r="24" spans="1:22" ht="16.5" customHeight="1">
      <c r="A24" s="247" t="s">
        <v>7</v>
      </c>
      <c r="B24" s="258">
        <f t="shared" si="1"/>
      </c>
      <c r="C24" s="380"/>
      <c r="D24" s="381"/>
      <c r="E24" s="381"/>
      <c r="F24" s="382"/>
      <c r="G24" s="485">
        <f>'Rounding-Time'!G42*24</f>
        <v>0</v>
      </c>
      <c r="H24" s="383">
        <f>IF(Holidays!C46="Holiday","Holiday","")</f>
      </c>
      <c r="I24" s="244"/>
      <c r="J24" s="504"/>
      <c r="K24" s="506" t="e">
        <f t="shared" si="0"/>
        <v>#REF!</v>
      </c>
      <c r="L24" s="562">
        <f>'Rounding-Time'!G52</f>
        <v>0</v>
      </c>
      <c r="M24" s="562">
        <f t="shared" si="2"/>
        <v>0</v>
      </c>
      <c r="N24" s="248" t="e">
        <f>'Rounding-Time'!U7</f>
        <v>#REF!</v>
      </c>
      <c r="O24" s="246" t="str">
        <f t="shared" si="3"/>
        <v>Prior</v>
      </c>
      <c r="P24" s="514" t="s">
        <v>267</v>
      </c>
      <c r="Q24" s="338"/>
      <c r="V24" s="92"/>
    </row>
    <row r="25" spans="1:22" ht="16.5" customHeight="1" thickBot="1">
      <c r="A25" s="247" t="s">
        <v>1</v>
      </c>
      <c r="B25" s="258">
        <f t="shared" si="1"/>
      </c>
      <c r="C25" s="380"/>
      <c r="D25" s="381"/>
      <c r="E25" s="381"/>
      <c r="F25" s="382"/>
      <c r="G25" s="485">
        <f>'Rounding-Time'!G43*24</f>
        <v>0</v>
      </c>
      <c r="H25" s="383">
        <f>IF(Holidays!C47="Holiday","Holiday","")</f>
      </c>
      <c r="I25" s="244"/>
      <c r="J25" s="507"/>
      <c r="K25" s="508" t="e">
        <f t="shared" si="0"/>
        <v>#REF!</v>
      </c>
      <c r="L25" s="562">
        <f>'Rounding-Time'!G53</f>
        <v>0</v>
      </c>
      <c r="M25" s="562">
        <f t="shared" si="2"/>
        <v>0</v>
      </c>
      <c r="N25" s="282" t="e">
        <f>'Rounding-Time'!U8</f>
        <v>#REF!</v>
      </c>
      <c r="O25" s="246" t="str">
        <f t="shared" si="3"/>
        <v>Prior</v>
      </c>
      <c r="P25" s="515" t="s">
        <v>267</v>
      </c>
      <c r="Q25" s="338"/>
      <c r="V25" s="92"/>
    </row>
    <row r="26" spans="1:22" ht="21" customHeight="1" thickBot="1">
      <c r="A26" s="249"/>
      <c r="B26" s="250"/>
      <c r="C26" s="250"/>
      <c r="D26" s="746" t="s">
        <v>108</v>
      </c>
      <c r="E26" s="746"/>
      <c r="F26" s="746"/>
      <c r="G26" s="484">
        <f>SUM(G19:G25)</f>
        <v>0</v>
      </c>
      <c r="H26" s="372"/>
      <c r="I26" s="284">
        <f aca="true" t="shared" si="4" ref="I26:N26">SUM(I19:I25)</f>
        <v>0</v>
      </c>
      <c r="J26" s="284">
        <f t="shared" si="4"/>
        <v>0</v>
      </c>
      <c r="K26" s="283" t="e">
        <f t="shared" si="4"/>
        <v>#REF!</v>
      </c>
      <c r="L26" s="563">
        <f t="shared" si="4"/>
        <v>0</v>
      </c>
      <c r="M26" s="563">
        <f>SUM(M19:M25)</f>
        <v>0</v>
      </c>
      <c r="N26" s="285" t="e">
        <f t="shared" si="4"/>
        <v>#REF!</v>
      </c>
      <c r="O26" s="284" t="s">
        <v>32</v>
      </c>
      <c r="P26" s="490">
        <f>MAX($G$26-HrsWeek,0)</f>
        <v>0</v>
      </c>
      <c r="Q26" s="338"/>
      <c r="V26" s="92"/>
    </row>
    <row r="27" spans="1:22" s="61" customFormat="1" ht="7.5" customHeight="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91"/>
      <c r="L27" s="191"/>
      <c r="M27" s="191"/>
      <c r="N27" s="191"/>
      <c r="O27" s="191"/>
      <c r="P27" s="126"/>
      <c r="Q27" s="338"/>
      <c r="V27" s="92"/>
    </row>
    <row r="28" spans="1:17" s="146" customFormat="1" ht="22.5" customHeight="1">
      <c r="A28" s="753" t="s">
        <v>468</v>
      </c>
      <c r="B28" s="754"/>
      <c r="C28" s="754"/>
      <c r="D28" s="754"/>
      <c r="E28" s="754"/>
      <c r="F28" s="754"/>
      <c r="G28" s="754"/>
      <c r="H28" s="754"/>
      <c r="I28" s="754"/>
      <c r="J28" s="754"/>
      <c r="K28" s="754"/>
      <c r="L28" s="754"/>
      <c r="M28" s="754"/>
      <c r="N28" s="754"/>
      <c r="O28" s="754"/>
      <c r="P28" s="754"/>
      <c r="Q28" s="339"/>
    </row>
    <row r="29" spans="1:17" s="146" customFormat="1" ht="27.75" customHeight="1">
      <c r="A29" s="233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39"/>
    </row>
    <row r="30" spans="1:17" s="146" customFormat="1" ht="12.75" customHeight="1" thickBot="1">
      <c r="A30" s="233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39"/>
    </row>
    <row r="31" spans="1:17" ht="12.75" customHeight="1">
      <c r="A31" s="757" t="s">
        <v>192</v>
      </c>
      <c r="B31" s="758"/>
      <c r="C31" s="758"/>
      <c r="D31" s="759"/>
      <c r="E31" s="757" t="s">
        <v>152</v>
      </c>
      <c r="F31" s="758"/>
      <c r="G31" s="758"/>
      <c r="H31" s="758"/>
      <c r="I31" s="759"/>
      <c r="J31" s="757" t="s">
        <v>153</v>
      </c>
      <c r="K31" s="758"/>
      <c r="L31" s="758"/>
      <c r="M31" s="758"/>
      <c r="N31" s="758"/>
      <c r="O31" s="758"/>
      <c r="P31" s="759"/>
      <c r="Q31" s="338"/>
    </row>
    <row r="32" spans="1:17" ht="12.75">
      <c r="A32" s="760"/>
      <c r="B32" s="761"/>
      <c r="C32" s="761"/>
      <c r="D32" s="762"/>
      <c r="E32" s="128"/>
      <c r="F32" s="129"/>
      <c r="G32" s="129"/>
      <c r="H32" s="129"/>
      <c r="I32" s="189"/>
      <c r="J32" s="760"/>
      <c r="K32" s="761"/>
      <c r="L32" s="761"/>
      <c r="M32" s="761"/>
      <c r="N32" s="761"/>
      <c r="O32" s="761"/>
      <c r="P32" s="762"/>
      <c r="Q32" s="338"/>
    </row>
    <row r="33" spans="1:17" ht="12.75">
      <c r="A33" s="760"/>
      <c r="B33" s="761"/>
      <c r="C33" s="761"/>
      <c r="D33" s="762"/>
      <c r="E33" s="128"/>
      <c r="F33" s="129"/>
      <c r="G33" s="129"/>
      <c r="H33" s="129"/>
      <c r="I33" s="189"/>
      <c r="J33" s="760"/>
      <c r="K33" s="761"/>
      <c r="L33" s="761"/>
      <c r="M33" s="761"/>
      <c r="N33" s="761"/>
      <c r="O33" s="761"/>
      <c r="P33" s="762"/>
      <c r="Q33" s="338"/>
    </row>
    <row r="34" spans="1:17" ht="12.75">
      <c r="A34" s="130"/>
      <c r="B34" s="131"/>
      <c r="C34" s="131"/>
      <c r="D34" s="132"/>
      <c r="E34" s="130"/>
      <c r="F34" s="131"/>
      <c r="G34" s="131"/>
      <c r="H34" s="131"/>
      <c r="I34" s="132"/>
      <c r="J34" s="755"/>
      <c r="K34" s="677"/>
      <c r="L34" s="677"/>
      <c r="M34" s="677"/>
      <c r="N34" s="677"/>
      <c r="O34" s="677"/>
      <c r="P34" s="756"/>
      <c r="Q34" s="338"/>
    </row>
    <row r="35" spans="1:26" ht="15.75">
      <c r="A35" s="133"/>
      <c r="B35" s="134"/>
      <c r="C35" s="744">
        <f ca="1">TODAY()</f>
        <v>45103</v>
      </c>
      <c r="D35" s="745"/>
      <c r="E35" s="133"/>
      <c r="F35" s="134"/>
      <c r="G35" s="134"/>
      <c r="H35" s="744"/>
      <c r="I35" s="745"/>
      <c r="J35" s="742"/>
      <c r="K35" s="743"/>
      <c r="L35" s="743"/>
      <c r="M35" s="743"/>
      <c r="N35" s="743"/>
      <c r="O35" s="743"/>
      <c r="P35" s="255"/>
      <c r="Q35" s="338"/>
      <c r="Z35" s="327"/>
    </row>
    <row r="36" spans="1:17" ht="18.75" thickBot="1">
      <c r="A36" s="252" t="s">
        <v>154</v>
      </c>
      <c r="B36" s="253"/>
      <c r="C36" s="768" t="s">
        <v>483</v>
      </c>
      <c r="D36" s="769"/>
      <c r="E36" s="252" t="s">
        <v>193</v>
      </c>
      <c r="F36" s="253"/>
      <c r="G36" s="253"/>
      <c r="H36" s="253"/>
      <c r="I36" s="254" t="s">
        <v>484</v>
      </c>
      <c r="J36" s="767" t="s">
        <v>155</v>
      </c>
      <c r="K36" s="768"/>
      <c r="L36" s="768"/>
      <c r="M36" s="768"/>
      <c r="N36" s="253"/>
      <c r="O36" s="253"/>
      <c r="P36" s="254" t="s">
        <v>280</v>
      </c>
      <c r="Q36" s="338"/>
    </row>
    <row r="37" spans="1:17" s="61" customFormat="1" ht="12.75">
      <c r="A37" s="135"/>
      <c r="B37" s="135"/>
      <c r="C37" s="135"/>
      <c r="D37" s="135"/>
      <c r="E37" s="251" t="s">
        <v>278</v>
      </c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338"/>
    </row>
    <row r="38" spans="1:17" s="61" customFormat="1" ht="29.25" customHeight="1">
      <c r="A38" s="135"/>
      <c r="B38" s="135"/>
      <c r="C38" s="135"/>
      <c r="D38" s="135"/>
      <c r="E38" s="136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338"/>
    </row>
    <row r="39" spans="1:17" s="61" customFormat="1" ht="14.25" customHeight="1">
      <c r="A39" s="221" t="s">
        <v>159</v>
      </c>
      <c r="B39" s="140"/>
      <c r="C39" s="763">
        <f>IF($K$10="Click Here for Drop-Down Menu","",(VLOOKUP($K$10,'Timesheet Periods'!A162:G371,5,)))</f>
      </c>
      <c r="D39" s="764"/>
      <c r="E39" s="135"/>
      <c r="F39" s="373"/>
      <c r="G39" s="702" t="s">
        <v>306</v>
      </c>
      <c r="H39" s="702"/>
      <c r="I39" s="702"/>
      <c r="J39" s="702"/>
      <c r="K39" s="702"/>
      <c r="L39" s="702"/>
      <c r="M39" s="702"/>
      <c r="N39" s="702"/>
      <c r="O39" s="702"/>
      <c r="P39" s="703"/>
      <c r="Q39" s="338"/>
    </row>
    <row r="40" spans="1:17" s="61" customFormat="1" ht="13.5" customHeight="1">
      <c r="A40" s="221" t="s">
        <v>160</v>
      </c>
      <c r="B40" s="140"/>
      <c r="C40" s="765">
        <f>IF($K$10="Click Here for Drop-Down Menu","",VLOOKUP($K$10,'Timesheet Periods'!A162:G371,4,))</f>
      </c>
      <c r="D40" s="766"/>
      <c r="E40" s="135"/>
      <c r="F40" s="373"/>
      <c r="G40" s="705"/>
      <c r="H40" s="705"/>
      <c r="I40" s="705"/>
      <c r="J40" s="705"/>
      <c r="K40" s="705"/>
      <c r="L40" s="705"/>
      <c r="M40" s="705"/>
      <c r="N40" s="705"/>
      <c r="O40" s="705"/>
      <c r="P40" s="706"/>
      <c r="Q40" s="338"/>
    </row>
    <row r="41" spans="1:17" s="61" customFormat="1" ht="13.5" customHeight="1">
      <c r="A41" s="135"/>
      <c r="B41" s="135"/>
      <c r="C41" s="137"/>
      <c r="D41" s="137"/>
      <c r="E41" s="135"/>
      <c r="F41" s="373"/>
      <c r="G41" s="705"/>
      <c r="H41" s="705"/>
      <c r="I41" s="705"/>
      <c r="J41" s="705"/>
      <c r="K41" s="705"/>
      <c r="L41" s="705"/>
      <c r="M41" s="705"/>
      <c r="N41" s="705"/>
      <c r="O41" s="705"/>
      <c r="P41" s="706"/>
      <c r="Q41" s="338"/>
    </row>
    <row r="42" spans="1:17" s="61" customFormat="1" ht="12.75" customHeight="1">
      <c r="A42" s="135"/>
      <c r="B42" s="135"/>
      <c r="C42" s="137"/>
      <c r="D42" s="137"/>
      <c r="E42" s="135"/>
      <c r="F42" s="373"/>
      <c r="G42" s="705"/>
      <c r="H42" s="705"/>
      <c r="I42" s="705"/>
      <c r="J42" s="705"/>
      <c r="K42" s="705"/>
      <c r="L42" s="705"/>
      <c r="M42" s="705"/>
      <c r="N42" s="705"/>
      <c r="O42" s="705"/>
      <c r="P42" s="706"/>
      <c r="Q42" s="338"/>
    </row>
    <row r="43" spans="1:17" s="61" customFormat="1" ht="12.75" customHeight="1">
      <c r="A43" s="135"/>
      <c r="B43" s="135"/>
      <c r="C43" s="137"/>
      <c r="D43" s="137"/>
      <c r="E43" s="135"/>
      <c r="F43" s="373"/>
      <c r="G43" s="705"/>
      <c r="H43" s="705"/>
      <c r="I43" s="705"/>
      <c r="J43" s="705"/>
      <c r="K43" s="705"/>
      <c r="L43" s="705"/>
      <c r="M43" s="705"/>
      <c r="N43" s="705"/>
      <c r="O43" s="705"/>
      <c r="P43" s="706"/>
      <c r="Q43" s="338"/>
    </row>
    <row r="44" spans="1:17" s="61" customFormat="1" ht="12.75" customHeight="1">
      <c r="A44" s="135"/>
      <c r="B44" s="135"/>
      <c r="C44" s="137"/>
      <c r="D44" s="137"/>
      <c r="E44" s="135"/>
      <c r="F44" s="373"/>
      <c r="G44" s="705"/>
      <c r="H44" s="705"/>
      <c r="I44" s="705"/>
      <c r="J44" s="705"/>
      <c r="K44" s="705"/>
      <c r="L44" s="705"/>
      <c r="M44" s="705"/>
      <c r="N44" s="705"/>
      <c r="O44" s="705"/>
      <c r="P44" s="706"/>
      <c r="Q44" s="338"/>
    </row>
    <row r="45" spans="1:17" s="61" customFormat="1" ht="12.75" customHeight="1">
      <c r="A45" s="135"/>
      <c r="B45" s="135"/>
      <c r="C45" s="137"/>
      <c r="D45" s="137"/>
      <c r="E45" s="135"/>
      <c r="F45" s="373"/>
      <c r="G45" s="705"/>
      <c r="H45" s="705"/>
      <c r="I45" s="705"/>
      <c r="J45" s="705"/>
      <c r="K45" s="705"/>
      <c r="L45" s="705"/>
      <c r="M45" s="705"/>
      <c r="N45" s="705"/>
      <c r="O45" s="705"/>
      <c r="P45" s="706"/>
      <c r="Q45" s="338"/>
    </row>
    <row r="46" spans="1:17" s="61" customFormat="1" ht="4.5" customHeight="1">
      <c r="A46" s="135"/>
      <c r="B46" s="135"/>
      <c r="C46" s="137"/>
      <c r="D46" s="137"/>
      <c r="E46" s="135"/>
      <c r="F46" s="373"/>
      <c r="G46" s="705"/>
      <c r="H46" s="705"/>
      <c r="I46" s="705"/>
      <c r="J46" s="705"/>
      <c r="K46" s="705"/>
      <c r="L46" s="705"/>
      <c r="M46" s="705"/>
      <c r="N46" s="705"/>
      <c r="O46" s="705"/>
      <c r="P46" s="706"/>
      <c r="Q46" s="338"/>
    </row>
    <row r="47" spans="1:17" s="61" customFormat="1" ht="15.75" customHeight="1">
      <c r="A47" s="135"/>
      <c r="B47" s="135"/>
      <c r="C47" s="137"/>
      <c r="D47" s="137"/>
      <c r="E47" s="135"/>
      <c r="F47" s="373"/>
      <c r="G47" s="708"/>
      <c r="H47" s="708"/>
      <c r="I47" s="708"/>
      <c r="J47" s="708"/>
      <c r="K47" s="708"/>
      <c r="L47" s="708"/>
      <c r="M47" s="708"/>
      <c r="N47" s="708"/>
      <c r="O47" s="708"/>
      <c r="P47" s="709"/>
      <c r="Q47" s="338"/>
    </row>
    <row r="48" spans="1:17" s="61" customFormat="1" ht="12.75" customHeight="1">
      <c r="A48" s="135"/>
      <c r="B48" s="135"/>
      <c r="C48" s="137"/>
      <c r="D48" s="137"/>
      <c r="E48" s="135"/>
      <c r="F48" s="135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338"/>
    </row>
    <row r="49" spans="1:17" s="61" customFormat="1" ht="12.75" customHeight="1">
      <c r="A49" s="135"/>
      <c r="B49" s="135"/>
      <c r="C49" s="137"/>
      <c r="D49" s="137"/>
      <c r="E49" s="135"/>
      <c r="F49" s="135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338"/>
    </row>
    <row r="50" spans="1:21" s="61" customFormat="1" ht="12.75" customHeight="1">
      <c r="A50" s="338"/>
      <c r="B50" s="286"/>
      <c r="C50" s="338"/>
      <c r="D50" s="286"/>
      <c r="E50" s="338"/>
      <c r="F50" s="286"/>
      <c r="G50" s="338"/>
      <c r="H50" s="286"/>
      <c r="I50" s="338"/>
      <c r="J50" s="286"/>
      <c r="K50" s="338"/>
      <c r="L50" s="286"/>
      <c r="M50" s="286"/>
      <c r="N50" s="338"/>
      <c r="O50" s="286"/>
      <c r="P50" s="337"/>
      <c r="Q50" s="338"/>
      <c r="S50" s="287"/>
      <c r="T50" s="337"/>
      <c r="U50" s="65"/>
    </row>
    <row r="51" spans="1:21" s="61" customFormat="1" ht="12.75" customHeight="1">
      <c r="A51" s="135"/>
      <c r="B51" s="135"/>
      <c r="C51" s="137"/>
      <c r="D51" s="137"/>
      <c r="E51" s="135"/>
      <c r="F51" s="135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338"/>
      <c r="S51" s="65"/>
      <c r="T51" s="65"/>
      <c r="U51" s="65"/>
    </row>
    <row r="52" spans="1:21" s="61" customFormat="1" ht="12.75" customHeight="1">
      <c r="A52" s="135"/>
      <c r="B52" s="135"/>
      <c r="C52" s="137"/>
      <c r="D52" s="137"/>
      <c r="E52" s="135"/>
      <c r="F52" s="135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338"/>
      <c r="S52" s="65"/>
      <c r="T52" s="65"/>
      <c r="U52" s="65"/>
    </row>
    <row r="53" spans="1:17" s="61" customFormat="1" ht="12.75" customHeight="1">
      <c r="A53" s="135"/>
      <c r="B53" s="135"/>
      <c r="C53" s="137"/>
      <c r="D53" s="137"/>
      <c r="E53" s="135"/>
      <c r="F53" s="135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338"/>
    </row>
    <row r="54" spans="3:17" s="61" customFormat="1" ht="12.75">
      <c r="C54" s="91"/>
      <c r="Q54" s="338"/>
    </row>
    <row r="55" spans="3:17" s="61" customFormat="1" ht="12.75">
      <c r="C55" s="91"/>
      <c r="Q55" s="338"/>
    </row>
    <row r="56" spans="3:17" s="61" customFormat="1" ht="12.75">
      <c r="C56" s="91"/>
      <c r="Q56" s="338"/>
    </row>
    <row r="57" spans="1:17" s="61" customFormat="1" ht="20.25" customHeight="1">
      <c r="A57" s="774" t="s">
        <v>277</v>
      </c>
      <c r="B57" s="774"/>
      <c r="C57" s="774"/>
      <c r="D57" s="774"/>
      <c r="E57" s="774"/>
      <c r="F57" s="774"/>
      <c r="G57" s="774"/>
      <c r="H57" s="774"/>
      <c r="I57" s="774"/>
      <c r="J57" s="774"/>
      <c r="K57" s="774"/>
      <c r="L57" s="774"/>
      <c r="M57" s="774"/>
      <c r="N57" s="774"/>
      <c r="O57" s="774"/>
      <c r="P57" s="774"/>
      <c r="Q57" s="338"/>
    </row>
    <row r="58" s="61" customFormat="1" ht="4.5" customHeight="1" thickBot="1">
      <c r="Q58" s="338"/>
    </row>
    <row r="59" spans="1:18" s="147" customFormat="1" ht="15.75">
      <c r="A59" s="275" t="s">
        <v>250</v>
      </c>
      <c r="B59" s="276" t="s">
        <v>185</v>
      </c>
      <c r="C59" s="276" t="s">
        <v>186</v>
      </c>
      <c r="D59" s="276" t="s">
        <v>2</v>
      </c>
      <c r="E59" s="276" t="s">
        <v>3</v>
      </c>
      <c r="F59" s="276" t="s">
        <v>4</v>
      </c>
      <c r="G59" s="276" t="s">
        <v>5</v>
      </c>
      <c r="H59" s="276" t="s">
        <v>6</v>
      </c>
      <c r="I59" s="276" t="s">
        <v>7</v>
      </c>
      <c r="J59" s="276" t="s">
        <v>1</v>
      </c>
      <c r="K59" s="277" t="s">
        <v>1</v>
      </c>
      <c r="L59" s="278" t="s">
        <v>187</v>
      </c>
      <c r="M59" s="473" t="s">
        <v>187</v>
      </c>
      <c r="N59" s="277" t="s">
        <v>187</v>
      </c>
      <c r="O59" s="777"/>
      <c r="P59" s="778"/>
      <c r="Q59" s="338"/>
      <c r="R59" s="61"/>
    </row>
    <row r="60" spans="1:17" s="61" customFormat="1" ht="15.75">
      <c r="A60" s="260">
        <f>IF(B19="","",VLOOKUP($B$19,'Timesheet Periods'!B162:G371,6,))</f>
      </c>
      <c r="B60" s="567">
        <f>IF(Title="Click Here for Drop-Down Menu","",VLOOKUP(Title,Codes!$O$17:$U$33,2,))</f>
      </c>
      <c r="C60" s="262">
        <f>IF(B60="","",VLOOKUP($K$8,Codes!$O$17:$U$33,3,))</f>
      </c>
      <c r="D60" s="272">
        <f>IF($C$60="","",G19)</f>
      </c>
      <c r="E60" s="272">
        <f>IF($C$60="","",G20)</f>
      </c>
      <c r="F60" s="272">
        <f>IF($C$60="","",G21)</f>
      </c>
      <c r="G60" s="272">
        <f>IF($C$60="","",G22)</f>
      </c>
      <c r="H60" s="272">
        <f>IF($C$60="","",G23)</f>
      </c>
      <c r="I60" s="272">
        <f>IF($C$60="","",G24)</f>
      </c>
      <c r="J60" s="272">
        <f>IF($C$60="","",G25)</f>
      </c>
      <c r="K60" s="263">
        <f>IF($C$60="","",G25)</f>
      </c>
      <c r="L60" s="482">
        <f>IF(B60="","",SUM(D60:J60))</f>
      </c>
      <c r="M60" s="280">
        <f>SUM(D60:J60)</f>
        <v>0</v>
      </c>
      <c r="N60" s="331">
        <f>IF($C$60="","",SUM(D60:K60))</f>
      </c>
      <c r="O60" s="770" t="s">
        <v>307</v>
      </c>
      <c r="P60" s="771"/>
      <c r="Q60" s="338"/>
    </row>
    <row r="61" spans="1:17" s="61" customFormat="1" ht="15.75">
      <c r="A61" s="264"/>
      <c r="B61" s="265"/>
      <c r="C61" s="266">
        <f>IF(B60="","",VLOOKUP($K$8,Codes!$O$17:$U$33,4,))</f>
      </c>
      <c r="D61" s="267">
        <f>IF(OR($C$61="N/A",$C$61=""),"",I19)</f>
      </c>
      <c r="E61" s="267">
        <f>IF(OR($C$61="N/A",$C$61=""),"",I20)</f>
      </c>
      <c r="F61" s="267">
        <f>IF(OR($C$61="N/A",$C$61=""),"",I21)</f>
      </c>
      <c r="G61" s="267">
        <f>IF(OR($C$61="N/A",$C$61=""),"",I22)</f>
      </c>
      <c r="H61" s="267">
        <f>IF(OR($C$61="N/A",$C$61=""),"",I23)</f>
      </c>
      <c r="I61" s="267">
        <f>IF(OR($C$61="N/A",$C$61=""),"",I24)</f>
      </c>
      <c r="J61" s="267">
        <f>IF(OR($C$61="N/A",$C$61=""),"",I25)</f>
      </c>
      <c r="K61" s="268">
        <f>IF($C$61="","",I25)</f>
      </c>
      <c r="L61" s="269">
        <f>IF($C$61="","",SUM(D61:J61))</f>
      </c>
      <c r="M61" s="269">
        <f>SUM(D61:J61)</f>
        <v>0</v>
      </c>
      <c r="N61" s="279">
        <f>IF($C$61="","",SUM(D61:K61))</f>
      </c>
      <c r="O61" s="779" t="s">
        <v>308</v>
      </c>
      <c r="P61" s="780"/>
      <c r="Q61" s="338"/>
    </row>
    <row r="62" spans="1:17" s="61" customFormat="1" ht="15.75">
      <c r="A62" s="270"/>
      <c r="B62" s="271"/>
      <c r="C62" s="262">
        <f>IF(B60="","",VLOOKUP($K$8,Codes!$O$17:$U$33,5,))</f>
      </c>
      <c r="D62" s="272">
        <f>IF(OR($C$62="N/A",$C$62=""),"",J19)</f>
      </c>
      <c r="E62" s="272">
        <f>IF(OR($C$62="N/A",$C$62=""),"",J20)</f>
      </c>
      <c r="F62" s="272">
        <f>IF(OR($C$62="N/A",$C$62=""),"",J21)</f>
      </c>
      <c r="G62" s="272">
        <f>IF(OR($C$62="N/A",$C$62=""),"",J22)</f>
      </c>
      <c r="H62" s="272">
        <f>IF(OR($C$62="N/A",$C$62=""),"",J23)</f>
      </c>
      <c r="I62" s="272">
        <f>IF(OR($C$62="N/A",$C$62=""),"",J24)</f>
      </c>
      <c r="J62" s="272">
        <f>IF(OR($C$62="N/A",$C$62=""),"",J25)</f>
      </c>
      <c r="K62" s="273">
        <f>IF($C$62="","",J25)</f>
      </c>
      <c r="L62" s="274">
        <f>IF($C$62="","",SUM(D62:J62))</f>
      </c>
      <c r="M62" s="477">
        <f>SUM(D62:J62)</f>
        <v>0</v>
      </c>
      <c r="N62" s="280">
        <f>IF($C$62="","",SUM(D62:K62))</f>
      </c>
      <c r="O62" s="770" t="s">
        <v>309</v>
      </c>
      <c r="P62" s="771"/>
      <c r="Q62" s="338"/>
    </row>
    <row r="63" spans="1:17" s="61" customFormat="1" ht="15.75">
      <c r="A63" s="264"/>
      <c r="B63" s="265"/>
      <c r="C63" s="266">
        <f>IF(B60="","",VLOOKUP($K$8,Codes!$O$17:$U$33,6,))</f>
      </c>
      <c r="D63" s="486"/>
      <c r="E63" s="486"/>
      <c r="F63" s="486"/>
      <c r="G63" s="486"/>
      <c r="H63" s="486"/>
      <c r="I63" s="486"/>
      <c r="J63" s="267"/>
      <c r="K63" s="487">
        <f>IF($C$63="","",K25)</f>
      </c>
      <c r="L63" s="488">
        <f>IF($C$63="N/A","0.00",$P$26)</f>
        <v>0</v>
      </c>
      <c r="M63" s="269">
        <f>IF($C$63="N/A","0.00",$P$26)</f>
        <v>0</v>
      </c>
      <c r="N63" s="281">
        <f>IF($C$63="","",$P$26)</f>
      </c>
      <c r="O63" s="779" t="s">
        <v>310</v>
      </c>
      <c r="P63" s="780"/>
      <c r="Q63" s="338"/>
    </row>
    <row r="64" spans="1:17" s="61" customFormat="1" ht="15.75">
      <c r="A64" s="260"/>
      <c r="B64" s="261"/>
      <c r="C64" s="262">
        <f>IF(B60="","",VLOOKUP($K$8,Codes!$O$17:$U$33,7,))</f>
      </c>
      <c r="D64" s="272">
        <f>IF(OR($C$64="N/A",$C$64=""),"",M19)</f>
      </c>
      <c r="E64" s="272">
        <f>IF(OR($C$64="N/A",$C$64=""),"",M20)</f>
      </c>
      <c r="F64" s="272">
        <f>IF(OR($C$64="N/A",$C$64=""),"",M21)</f>
      </c>
      <c r="G64" s="272">
        <f>IF(OR($C$64="N/A",$C$64=""),"",M22)</f>
      </c>
      <c r="H64" s="272">
        <f>IF(OR($C$64="N/A",$C$64=""),"",M23)</f>
      </c>
      <c r="I64" s="272">
        <f>IF(OR($C$64="N/A",$C$64=""),"",M24)</f>
      </c>
      <c r="J64" s="272">
        <f>IF(OR($C$64="N/A",$C$64=""),"",M25)</f>
      </c>
      <c r="K64" s="272">
        <f>IF($C$64="","",L25)</f>
      </c>
      <c r="L64" s="489">
        <f>IF($C$64="","",SUM(D64:J64))</f>
      </c>
      <c r="M64" s="280">
        <f>SUM(D64:J64)</f>
        <v>0</v>
      </c>
      <c r="N64" s="331">
        <f>IF($C$64="","",SUM(D64:K64))</f>
      </c>
      <c r="O64" s="770" t="s">
        <v>311</v>
      </c>
      <c r="P64" s="771"/>
      <c r="Q64" s="338"/>
    </row>
    <row r="65" spans="1:32" ht="15" customHeight="1" hidden="1">
      <c r="A65" s="264" t="e">
        <f>VLOOKUP($B$19,'Timesheet Periods'!B138:G155,7)</f>
        <v>#N/A</v>
      </c>
      <c r="B65" s="265" t="e">
        <f>VLOOKUP($K$8,Codes!$O$17:$U$30,2,)</f>
        <v>#N/A</v>
      </c>
      <c r="C65" s="266" t="e">
        <f>VLOOKUP($K$8,Codes!$O$17:$U$30,3,)</f>
        <v>#N/A</v>
      </c>
      <c r="D65" s="267" t="e">
        <f>#REF!</f>
        <v>#REF!</v>
      </c>
      <c r="E65" s="267" t="e">
        <f>#REF!</f>
        <v>#REF!</v>
      </c>
      <c r="F65" s="267" t="e">
        <f>#REF!</f>
        <v>#REF!</v>
      </c>
      <c r="G65" s="267" t="e">
        <f>#REF!</f>
        <v>#REF!</v>
      </c>
      <c r="H65" s="267" t="e">
        <f>#REF!</f>
        <v>#REF!</v>
      </c>
      <c r="I65" s="267" t="e">
        <f>#REF!</f>
        <v>#REF!</v>
      </c>
      <c r="J65" s="267" t="e">
        <f>#REF!</f>
        <v>#REF!</v>
      </c>
      <c r="K65" s="268" t="e">
        <f>SUM(D65:J65)</f>
        <v>#REF!</v>
      </c>
      <c r="L65" s="269" t="s">
        <v>217</v>
      </c>
      <c r="M65" s="474"/>
      <c r="N65" s="279"/>
      <c r="O65" s="377"/>
      <c r="P65" s="375"/>
      <c r="Q65" s="338"/>
      <c r="AF65" s="24"/>
    </row>
    <row r="66" spans="1:32" ht="15" customHeight="1" hidden="1">
      <c r="A66" s="260"/>
      <c r="B66" s="261"/>
      <c r="C66" s="262" t="e">
        <f>VLOOKUP($K$8,Codes!$O$17:$U$30,4,)</f>
        <v>#N/A</v>
      </c>
      <c r="D66" s="263" t="e">
        <f>IF($C$66="N/A"," - ",#REF!)</f>
        <v>#N/A</v>
      </c>
      <c r="E66" s="263" t="e">
        <f>IF($C$66="N/A"," - ",#REF!)</f>
        <v>#N/A</v>
      </c>
      <c r="F66" s="263" t="e">
        <f>IF($C$66="N/A"," - ",#REF!)</f>
        <v>#N/A</v>
      </c>
      <c r="G66" s="263" t="e">
        <f>IF($C$66="N/A"," - ",#REF!)</f>
        <v>#N/A</v>
      </c>
      <c r="H66" s="263" t="e">
        <f>IF($C$66="N/A"," - ",#REF!)</f>
        <v>#N/A</v>
      </c>
      <c r="I66" s="263" t="e">
        <f>IF($C$66="N/A"," - ",#REF!)</f>
        <v>#N/A</v>
      </c>
      <c r="J66" s="263" t="e">
        <f>IF($C$66="N/A"," - ",#REF!)</f>
        <v>#N/A</v>
      </c>
      <c r="K66" s="330" t="e">
        <f>SUM(D66:J66)</f>
        <v>#N/A</v>
      </c>
      <c r="L66" s="331" t="s">
        <v>218</v>
      </c>
      <c r="M66" s="331"/>
      <c r="N66" s="331"/>
      <c r="O66" s="376"/>
      <c r="P66" s="375"/>
      <c r="Q66" s="338"/>
      <c r="AF66" s="24"/>
    </row>
    <row r="67" spans="1:32" ht="15" customHeight="1" hidden="1">
      <c r="A67" s="264"/>
      <c r="B67" s="265"/>
      <c r="C67" s="266" t="e">
        <f>VLOOKUP($K$8,Codes!$O$17:$U$30,5,)</f>
        <v>#N/A</v>
      </c>
      <c r="D67" s="267" t="e">
        <f>IF($C$67="N/A"," - ",#REF!)</f>
        <v>#N/A</v>
      </c>
      <c r="E67" s="267" t="e">
        <f>IF($C$67="N/A"," - ",#REF!)</f>
        <v>#N/A</v>
      </c>
      <c r="F67" s="267" t="e">
        <f>IF($C$67="N/A"," - ",#REF!)</f>
        <v>#N/A</v>
      </c>
      <c r="G67" s="267" t="e">
        <f>IF($C$67="N/A"," - ",#REF!)</f>
        <v>#N/A</v>
      </c>
      <c r="H67" s="267" t="e">
        <f>IF($C$67="N/A"," - ",#REF!)</f>
        <v>#N/A</v>
      </c>
      <c r="I67" s="267" t="e">
        <f>IF($C$67="N/A"," - ",#REF!)</f>
        <v>#N/A</v>
      </c>
      <c r="J67" s="267" t="e">
        <f>IF($C$67="N/A"," - ",#REF!)</f>
        <v>#N/A</v>
      </c>
      <c r="K67" s="268" t="e">
        <f>SUM(D67:J67)</f>
        <v>#N/A</v>
      </c>
      <c r="L67" s="269" t="s">
        <v>219</v>
      </c>
      <c r="M67" s="474"/>
      <c r="N67" s="279"/>
      <c r="O67" s="377"/>
      <c r="P67" s="375"/>
      <c r="Q67" s="338"/>
      <c r="AF67" s="24"/>
    </row>
    <row r="68" spans="1:32" ht="15" customHeight="1" hidden="1">
      <c r="A68" s="260"/>
      <c r="B68" s="261"/>
      <c r="C68" s="262" t="e">
        <f>VLOOKUP($K$8,Codes!$O$17:$U$30,6,)</f>
        <v>#N/A</v>
      </c>
      <c r="D68" s="263" t="e">
        <f>IF($C$68="N/A"," - ",#REF!)</f>
        <v>#N/A</v>
      </c>
      <c r="E68" s="263" t="e">
        <f>IF($C$68="N/A"," - ",#REF!)</f>
        <v>#N/A</v>
      </c>
      <c r="F68" s="263" t="e">
        <f>IF($C$68="N/A"," - ",#REF!)</f>
        <v>#N/A</v>
      </c>
      <c r="G68" s="263" t="e">
        <f>IF($C$68="N/A"," - ",#REF!)</f>
        <v>#N/A</v>
      </c>
      <c r="H68" s="263" t="e">
        <f>IF($C$68="N/A"," - ",#REF!)</f>
        <v>#N/A</v>
      </c>
      <c r="I68" s="263" t="e">
        <f>IF($C$68="N/A"," - ",#REF!)</f>
        <v>#N/A</v>
      </c>
      <c r="J68" s="263" t="e">
        <f>IF($C$68="N/A"," - ",#REF!)</f>
        <v>#N/A</v>
      </c>
      <c r="K68" s="330" t="e">
        <f>IF($C$68="N/A","0.00",#REF!)</f>
        <v>#N/A</v>
      </c>
      <c r="L68" s="331" t="s">
        <v>249</v>
      </c>
      <c r="M68" s="331"/>
      <c r="N68" s="331" t="s">
        <v>269</v>
      </c>
      <c r="O68" s="376"/>
      <c r="P68" s="375"/>
      <c r="Q68" s="338"/>
      <c r="AF68" s="24"/>
    </row>
    <row r="69" spans="1:32" ht="15" customHeight="1" hidden="1">
      <c r="A69" s="264"/>
      <c r="B69" s="265"/>
      <c r="C69" s="266" t="e">
        <f>VLOOKUP($K$8,Codes!$O$17:$U$30,7,)</f>
        <v>#N/A</v>
      </c>
      <c r="D69" s="267" t="e">
        <f>IF($C$69="N/A"," - ",#REF!)</f>
        <v>#N/A</v>
      </c>
      <c r="E69" s="267" t="e">
        <f>IF($C$69="N/A"," - ",#REF!)</f>
        <v>#N/A</v>
      </c>
      <c r="F69" s="267" t="e">
        <f>IF($C$69="N/A"," - ",#REF!)</f>
        <v>#N/A</v>
      </c>
      <c r="G69" s="267" t="e">
        <f>IF($C$69="N/A"," - ",#REF!)</f>
        <v>#N/A</v>
      </c>
      <c r="H69" s="267" t="e">
        <f>IF($C$69="N/A"," - ",#REF!)</f>
        <v>#N/A</v>
      </c>
      <c r="I69" s="267" t="e">
        <f>IF($C$69="N/A"," - ",#REF!)</f>
        <v>#N/A</v>
      </c>
      <c r="J69" s="267" t="e">
        <f>IF($C$69="N/A"," - ",#REF!)</f>
        <v>#N/A</v>
      </c>
      <c r="K69" s="268" t="e">
        <f>SUM(D69:J69)</f>
        <v>#N/A</v>
      </c>
      <c r="L69" s="269" t="s">
        <v>220</v>
      </c>
      <c r="M69" s="474"/>
      <c r="N69" s="279"/>
      <c r="O69" s="377"/>
      <c r="P69" s="375"/>
      <c r="Q69" s="338"/>
      <c r="AF69" s="24"/>
    </row>
    <row r="70" spans="1:32" ht="16.5" thickBot="1">
      <c r="A70" s="775" t="s">
        <v>305</v>
      </c>
      <c r="B70" s="776"/>
      <c r="C70" s="366"/>
      <c r="D70" s="367"/>
      <c r="E70" s="367"/>
      <c r="F70" s="367"/>
      <c r="G70" s="367"/>
      <c r="H70" s="367"/>
      <c r="I70" s="367"/>
      <c r="J70" s="367"/>
      <c r="K70" s="368"/>
      <c r="L70" s="369"/>
      <c r="M70" s="475"/>
      <c r="N70" s="370"/>
      <c r="O70" s="772" t="s">
        <v>312</v>
      </c>
      <c r="P70" s="773"/>
      <c r="Q70" s="338"/>
      <c r="AF70" s="24"/>
    </row>
    <row r="71" spans="1:16" ht="12.75">
      <c r="A71" s="61"/>
      <c r="B71" s="61"/>
      <c r="C71" s="9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</row>
    <row r="72" spans="1:16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</row>
    <row r="73" spans="1:16" ht="12.75">
      <c r="A73" s="61"/>
      <c r="B73" s="327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1:16" ht="12.75">
      <c r="A74" s="61"/>
      <c r="B74" s="327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1:16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spans="1:16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77" spans="1:16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</row>
    <row r="78" spans="1:16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</row>
    <row r="79" spans="1:16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</row>
    <row r="80" spans="1:16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</row>
    <row r="81" spans="1:16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</row>
    <row r="82" spans="1:16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</row>
    <row r="83" spans="1:16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</row>
    <row r="84" spans="1:16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</row>
    <row r="85" spans="1:16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</row>
    <row r="86" spans="1:16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</row>
    <row r="87" spans="1:16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</row>
    <row r="88" spans="1:16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</row>
    <row r="89" spans="1:16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</row>
    <row r="90" spans="1:16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</row>
    <row r="91" spans="1:16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</row>
    <row r="92" spans="1:16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</row>
    <row r="93" spans="1:16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</row>
    <row r="94" spans="1:16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</row>
    <row r="95" spans="1:16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</row>
    <row r="96" spans="1:16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</row>
    <row r="97" spans="1:16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</row>
    <row r="98" spans="1:16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</row>
    <row r="99" spans="1:16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</row>
    <row r="100" spans="1:16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</row>
    <row r="101" spans="1:16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</row>
    <row r="102" spans="1:16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</row>
    <row r="103" spans="1:16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</row>
    <row r="104" spans="1:16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</row>
    <row r="105" spans="1:16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</row>
    <row r="106" spans="1:16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</row>
    <row r="107" spans="1:16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spans="1:16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</row>
    <row r="109" spans="1:16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</row>
    <row r="110" spans="1:16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</row>
    <row r="111" spans="1:16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</row>
    <row r="112" spans="1:16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</row>
    <row r="113" spans="1:16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</row>
    <row r="114" spans="1:16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</row>
    <row r="115" spans="1:16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</row>
    <row r="116" spans="1:16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</row>
    <row r="117" spans="1:16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</row>
    <row r="118" spans="1:16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</row>
    <row r="119" spans="1:16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</row>
    <row r="120" spans="1:16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</row>
    <row r="121" spans="1:16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</row>
    <row r="122" spans="1:16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</row>
    <row r="123" spans="1:16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</row>
    <row r="124" spans="1:16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</row>
    <row r="125" spans="1:16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</row>
    <row r="126" spans="1:16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</row>
    <row r="127" spans="1:16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</row>
    <row r="128" spans="1:16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</row>
    <row r="129" spans="1:16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</row>
    <row r="130" spans="1:16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</row>
    <row r="131" spans="1:16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</row>
    <row r="132" spans="1:16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</row>
    <row r="133" spans="1:16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</row>
    <row r="134" spans="1:16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</row>
    <row r="135" spans="1:16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</row>
    <row r="136" spans="1:16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</row>
    <row r="137" spans="1:16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</row>
    <row r="138" spans="1:16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</row>
    <row r="139" spans="1:16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</row>
    <row r="140" spans="1:16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</row>
    <row r="141" spans="1:16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</row>
    <row r="142" spans="1:16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</row>
    <row r="143" spans="1:16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</row>
    <row r="144" spans="1:16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</row>
    <row r="145" spans="1:16" ht="12.7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</row>
    <row r="146" spans="1:16" ht="12.7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</row>
    <row r="147" spans="1:16" ht="12.7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</row>
    <row r="148" spans="1:16" ht="12.7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</row>
    <row r="149" spans="1:16" ht="12.7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</row>
    <row r="150" spans="1:16" ht="12.7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</row>
    <row r="151" spans="1:16" ht="12.7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</row>
    <row r="152" spans="1:16" ht="12.7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</row>
    <row r="153" spans="1:16" ht="12.7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</row>
    <row r="154" spans="1:16" ht="12.7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</row>
    <row r="155" spans="1:16" ht="12.7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</row>
    <row r="156" spans="1:16" ht="12.7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</row>
    <row r="157" spans="1:16" ht="12.7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</row>
    <row r="158" spans="1:16" ht="12.7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</row>
    <row r="159" spans="1:16" ht="12.7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</row>
    <row r="160" spans="1:16" ht="12.7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</row>
    <row r="161" spans="1:16" ht="12.7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</row>
    <row r="162" spans="1:16" ht="12.7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</row>
    <row r="163" spans="1:16" ht="12.7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</row>
    <row r="164" spans="1:16" ht="12.7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</row>
    <row r="165" spans="1:16" ht="12.7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</row>
    <row r="166" spans="1:16" ht="12.7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</row>
    <row r="167" spans="1:16" ht="12.7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</row>
    <row r="168" spans="1:16" ht="12.7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</row>
    <row r="169" spans="1:16" ht="12.75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</row>
    <row r="170" spans="1:16" ht="12.7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</row>
    <row r="171" spans="1:16" ht="12.7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</row>
    <row r="172" spans="1:16" ht="12.7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</row>
    <row r="173" spans="1:16" ht="12.7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</row>
    <row r="174" spans="1:16" ht="12.7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</row>
    <row r="175" spans="1:16" ht="12.7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</row>
    <row r="176" spans="1:16" ht="12.7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</row>
    <row r="177" spans="1:16" ht="12.7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</row>
    <row r="178" spans="1:16" ht="12.7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</row>
    <row r="179" spans="1:16" ht="12.7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</row>
    <row r="180" spans="1:16" ht="12.7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</row>
    <row r="181" spans="1:16" ht="12.7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</row>
    <row r="182" spans="1:16" ht="12.7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</row>
    <row r="183" spans="1:16" ht="12.7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</row>
    <row r="184" spans="1:16" ht="12.7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</row>
    <row r="185" spans="1:16" ht="12.7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</row>
    <row r="186" spans="1:16" ht="12.7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</row>
    <row r="187" spans="1:16" ht="12.7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</row>
    <row r="188" spans="1:16" ht="12.7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</row>
    <row r="189" spans="1:16" ht="12.7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</row>
    <row r="190" spans="1:16" ht="12.75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</row>
    <row r="191" spans="1:16" ht="12.75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</row>
    <row r="192" spans="1:16" ht="12.75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</row>
    <row r="193" spans="1:16" ht="12.75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</row>
    <row r="194" spans="1:16" ht="12.7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</row>
    <row r="195" spans="1:16" ht="12.7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</row>
    <row r="196" spans="1:16" ht="12.75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</row>
    <row r="197" spans="1:16" ht="12.7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</row>
    <row r="198" spans="1:16" ht="12.75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</row>
    <row r="199" spans="1:16" ht="12.7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</row>
    <row r="200" spans="1:16" ht="12.7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</row>
    <row r="201" spans="1:16" ht="12.75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</row>
    <row r="202" spans="1:16" ht="12.7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</row>
    <row r="203" spans="1:16" ht="12.75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</row>
    <row r="204" spans="1:16" ht="12.75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</row>
  </sheetData>
  <sheetProtection password="E508" sheet="1" objects="1" scenarios="1" selectLockedCells="1"/>
  <mergeCells count="53">
    <mergeCell ref="O64:P64"/>
    <mergeCell ref="O70:P70"/>
    <mergeCell ref="A57:P57"/>
    <mergeCell ref="A70:B70"/>
    <mergeCell ref="O59:P59"/>
    <mergeCell ref="O60:P60"/>
    <mergeCell ref="O61:P61"/>
    <mergeCell ref="O62:P62"/>
    <mergeCell ref="O63:P63"/>
    <mergeCell ref="G39:P47"/>
    <mergeCell ref="J34:P34"/>
    <mergeCell ref="J31:P33"/>
    <mergeCell ref="C39:D39"/>
    <mergeCell ref="C35:D35"/>
    <mergeCell ref="C40:D40"/>
    <mergeCell ref="J36:M36"/>
    <mergeCell ref="A31:D33"/>
    <mergeCell ref="C36:D36"/>
    <mergeCell ref="E31:I31"/>
    <mergeCell ref="J35:O35"/>
    <mergeCell ref="H35:I35"/>
    <mergeCell ref="B15:E15"/>
    <mergeCell ref="D26:F26"/>
    <mergeCell ref="H14:J14"/>
    <mergeCell ref="L14:P14"/>
    <mergeCell ref="I17:J17"/>
    <mergeCell ref="A17:H17"/>
    <mergeCell ref="L17:N17"/>
    <mergeCell ref="A28:P28"/>
    <mergeCell ref="G18:H18"/>
    <mergeCell ref="H12:K12"/>
    <mergeCell ref="O17:P17"/>
    <mergeCell ref="B13:E13"/>
    <mergeCell ref="B14:E14"/>
    <mergeCell ref="AA2:AE3"/>
    <mergeCell ref="K2:P2"/>
    <mergeCell ref="A3:P3"/>
    <mergeCell ref="K8:P8"/>
    <mergeCell ref="K10:P10"/>
    <mergeCell ref="V11:AA12"/>
    <mergeCell ref="L11:P11"/>
    <mergeCell ref="W10:AA10"/>
    <mergeCell ref="R11:U12"/>
    <mergeCell ref="L9:P9"/>
    <mergeCell ref="A5:E11"/>
    <mergeCell ref="I8:J8"/>
    <mergeCell ref="I10:J10"/>
    <mergeCell ref="L15:P15"/>
    <mergeCell ref="H15:J15"/>
    <mergeCell ref="B12:E12"/>
    <mergeCell ref="H13:K13"/>
    <mergeCell ref="L12:P12"/>
    <mergeCell ref="L13:P13"/>
  </mergeCells>
  <dataValidations count="5">
    <dataValidation type="list" allowBlank="1" showInputMessage="1" showErrorMessage="1" sqref="P1">
      <formula1>JSNNum</formula1>
    </dataValidation>
    <dataValidation type="list" allowBlank="1" showInputMessage="1" showErrorMessage="1" sqref="L1:M1">
      <formula1>CDNum</formula1>
    </dataValidation>
    <dataValidation type="list" allowBlank="1" showInputMessage="1" showErrorMessage="1" sqref="K10:P10">
      <formula1>HourlyWkly</formula1>
    </dataValidation>
    <dataValidation type="list" allowBlank="1" showInputMessage="1" showErrorMessage="1" sqref="K8:P8">
      <formula1>Titles</formula1>
    </dataValidation>
    <dataValidation type="time" allowBlank="1" showInputMessage="1" showErrorMessage="1" errorTitle="Invalid Entry" error="Please enter time in military time format between 0:00 and 23:59 (1:00, 8:00, 13:00, 20:00, etc.)." sqref="C19:F25">
      <formula1>0</formula1>
      <formula2>0.9993055555555556</formula2>
    </dataValidation>
  </dataValidations>
  <printOptions/>
  <pageMargins left="0.35" right="0.35" top="0.5" bottom="0.5" header="0.3" footer="0.3"/>
  <pageSetup fitToHeight="1" fitToWidth="1" horizontalDpi="600" verticalDpi="600" orientation="portrait" scale="62" r:id="rId4"/>
  <ignoredErrors>
    <ignoredError sqref="I60 M63" formula="1"/>
    <ignoredError sqref="M26 L7" evalError="1"/>
  </ignoredError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234"/>
  <sheetViews>
    <sheetView zoomScalePageLayoutView="0" workbookViewId="0" topLeftCell="A16">
      <selection activeCell="L21" sqref="L21"/>
    </sheetView>
  </sheetViews>
  <sheetFormatPr defaultColWidth="9.140625" defaultRowHeight="12.75"/>
  <cols>
    <col min="1" max="1" width="19.8515625" style="0" customWidth="1"/>
    <col min="2" max="2" width="29.421875" style="0" customWidth="1"/>
    <col min="3" max="3" width="24.7109375" style="34" bestFit="1" customWidth="1"/>
    <col min="4" max="4" width="21.421875" style="33" hidden="1" customWidth="1"/>
    <col min="5" max="5" width="0.13671875" style="33" hidden="1" customWidth="1"/>
    <col min="6" max="6" width="10.28125" style="33" hidden="1" customWidth="1"/>
    <col min="7" max="7" width="25.8515625" style="33" customWidth="1"/>
    <col min="8" max="8" width="26.28125" style="33" customWidth="1"/>
    <col min="9" max="9" width="28.57421875" style="0" customWidth="1"/>
    <col min="10" max="10" width="30.421875" style="0" customWidth="1"/>
    <col min="11" max="11" width="30.140625" style="0" customWidth="1"/>
    <col min="12" max="12" width="27.7109375" style="0" customWidth="1"/>
    <col min="13" max="13" width="27.28125" style="0" customWidth="1"/>
  </cols>
  <sheetData>
    <row r="1" spans="2:3" ht="12.75">
      <c r="B1" s="10"/>
      <c r="C1" s="33"/>
    </row>
    <row r="2" spans="1:13" ht="16.5">
      <c r="A2" s="12" t="s">
        <v>13</v>
      </c>
      <c r="B2" s="13" t="s">
        <v>30</v>
      </c>
      <c r="C2" s="23">
        <v>2016</v>
      </c>
      <c r="D2" s="36">
        <v>2017</v>
      </c>
      <c r="E2" s="23">
        <v>2018</v>
      </c>
      <c r="F2" s="23">
        <v>2019</v>
      </c>
      <c r="G2" s="23">
        <v>2020</v>
      </c>
      <c r="H2" s="23">
        <v>2021</v>
      </c>
      <c r="I2" s="23">
        <v>2022</v>
      </c>
      <c r="J2" s="23">
        <v>2023</v>
      </c>
      <c r="K2" s="23">
        <v>2024</v>
      </c>
      <c r="L2" s="23">
        <v>2025</v>
      </c>
      <c r="M2" s="23">
        <v>2026</v>
      </c>
    </row>
    <row r="3" spans="1:13" s="43" customFormat="1" ht="12.75">
      <c r="A3" s="291" t="s">
        <v>10</v>
      </c>
      <c r="B3" s="297" t="s">
        <v>27</v>
      </c>
      <c r="C3" s="42">
        <f aca="true" t="shared" si="0" ref="C3:I3">DATE(C2,9,CHOOSE(WEEKDAY(DATE(C2,9,1)),2,1,7,6,5,4,3))</f>
        <v>42618</v>
      </c>
      <c r="D3" s="42">
        <f t="shared" si="0"/>
        <v>42982</v>
      </c>
      <c r="E3" s="42">
        <f t="shared" si="0"/>
        <v>43346</v>
      </c>
      <c r="F3" s="42">
        <f t="shared" si="0"/>
        <v>43710</v>
      </c>
      <c r="G3" s="42">
        <f t="shared" si="0"/>
        <v>44081</v>
      </c>
      <c r="H3" s="42">
        <f t="shared" si="0"/>
        <v>44445</v>
      </c>
      <c r="I3" s="42">
        <f t="shared" si="0"/>
        <v>44809</v>
      </c>
      <c r="J3" s="42">
        <f>DATE(J2,9,CHOOSE(WEEKDAY(DATE(J2,9,1)),2,1,7,6,5,4,3))</f>
        <v>45173</v>
      </c>
      <c r="K3" s="42">
        <f>DATE(K2,9,CHOOSE(WEEKDAY(DATE(K2,9,1)),2,1,7,6,5,4,3))</f>
        <v>45537</v>
      </c>
      <c r="L3" s="42">
        <f>DATE(L2,9,CHOOSE(WEEKDAY(DATE(L2,9,1)),2,1,7,6,5,4,3))</f>
        <v>45901</v>
      </c>
      <c r="M3" s="42">
        <f>DATE(M2,9,CHOOSE(WEEKDAY(DATE(M2,9,1)),2,1,7,6,5,4,3))</f>
        <v>46272</v>
      </c>
    </row>
    <row r="4" spans="1:13" s="43" customFormat="1" ht="12.75">
      <c r="A4" s="291" t="s">
        <v>11</v>
      </c>
      <c r="B4" s="297" t="s">
        <v>28</v>
      </c>
      <c r="C4" s="298">
        <f aca="true" t="shared" si="1" ref="C4:J4">DATE(C2,10,CHOOSE(WEEKDAY(DATE((C2),10,1)),9,8,14,13,12,11,10))</f>
        <v>42653</v>
      </c>
      <c r="D4" s="298">
        <f t="shared" si="1"/>
        <v>43017</v>
      </c>
      <c r="E4" s="298">
        <f t="shared" si="1"/>
        <v>43381</v>
      </c>
      <c r="F4" s="298">
        <f t="shared" si="1"/>
        <v>43752</v>
      </c>
      <c r="G4" s="298">
        <f t="shared" si="1"/>
        <v>44116</v>
      </c>
      <c r="H4" s="298">
        <f t="shared" si="1"/>
        <v>44480</v>
      </c>
      <c r="I4" s="298">
        <f t="shared" si="1"/>
        <v>44844</v>
      </c>
      <c r="J4" s="298">
        <f t="shared" si="1"/>
        <v>45208</v>
      </c>
      <c r="K4" s="298">
        <f>DATE(K2,10,CHOOSE(WEEKDAY(DATE((K2),10,1)),9,8,14,13,12,11,10))</f>
        <v>45579</v>
      </c>
      <c r="L4" s="298">
        <f>DATE(L2,10,CHOOSE(WEEKDAY(DATE((L2),10,1)),9,8,14,13,12,11,10))</f>
        <v>45943</v>
      </c>
      <c r="M4" s="298">
        <f>DATE(M2,10,CHOOSE(WEEKDAY(DATE((M2),10,1)),9,8,14,13,12,11,10))</f>
        <v>46307</v>
      </c>
    </row>
    <row r="5" spans="1:13" s="43" customFormat="1" ht="12.75">
      <c r="A5" s="291" t="s">
        <v>15</v>
      </c>
      <c r="B5" s="297" t="s">
        <v>24</v>
      </c>
      <c r="C5" s="42">
        <f aca="true" t="shared" si="2" ref="C5:M5">DATE((C$2),11,CHOOSE(WEEKDAY(DATE((C$2),11,1)),26,25,24,23,22,28,27))</f>
        <v>42698</v>
      </c>
      <c r="D5" s="42">
        <f t="shared" si="2"/>
        <v>43062</v>
      </c>
      <c r="E5" s="42">
        <f t="shared" si="2"/>
        <v>43426</v>
      </c>
      <c r="F5" s="42">
        <f t="shared" si="2"/>
        <v>43797</v>
      </c>
      <c r="G5" s="42">
        <f t="shared" si="2"/>
        <v>44161</v>
      </c>
      <c r="H5" s="42">
        <f t="shared" si="2"/>
        <v>44525</v>
      </c>
      <c r="I5" s="298">
        <f t="shared" si="2"/>
        <v>44889</v>
      </c>
      <c r="J5" s="298">
        <f t="shared" si="2"/>
        <v>45253</v>
      </c>
      <c r="K5" s="298">
        <f t="shared" si="2"/>
        <v>45624</v>
      </c>
      <c r="L5" s="298">
        <f t="shared" si="2"/>
        <v>45988</v>
      </c>
      <c r="M5" s="298">
        <f t="shared" si="2"/>
        <v>46352</v>
      </c>
    </row>
    <row r="6" spans="1:13" s="43" customFormat="1" ht="12.75">
      <c r="A6" s="291" t="s">
        <v>14</v>
      </c>
      <c r="B6" s="297" t="s">
        <v>29</v>
      </c>
      <c r="C6" s="42">
        <f aca="true" t="shared" si="3" ref="C6:I6">C5+1</f>
        <v>42699</v>
      </c>
      <c r="D6" s="42">
        <f t="shared" si="3"/>
        <v>43063</v>
      </c>
      <c r="E6" s="42">
        <f t="shared" si="3"/>
        <v>43427</v>
      </c>
      <c r="F6" s="42">
        <f t="shared" si="3"/>
        <v>43798</v>
      </c>
      <c r="G6" s="42">
        <f t="shared" si="3"/>
        <v>44162</v>
      </c>
      <c r="H6" s="42">
        <f t="shared" si="3"/>
        <v>44526</v>
      </c>
      <c r="I6" s="42">
        <f t="shared" si="3"/>
        <v>44890</v>
      </c>
      <c r="J6" s="42">
        <f>J5+1</f>
        <v>45254</v>
      </c>
      <c r="K6" s="42">
        <f>K5+1</f>
        <v>45625</v>
      </c>
      <c r="L6" s="42">
        <f>L5+1</f>
        <v>45989</v>
      </c>
      <c r="M6" s="42">
        <f>M5+1</f>
        <v>46353</v>
      </c>
    </row>
    <row r="7" spans="1:13" s="43" customFormat="1" ht="12.75">
      <c r="A7" s="291" t="s">
        <v>16</v>
      </c>
      <c r="B7" s="297">
        <v>42362</v>
      </c>
      <c r="C7" s="42">
        <v>42727</v>
      </c>
      <c r="D7" s="308">
        <v>43094</v>
      </c>
      <c r="E7" s="308">
        <v>43458</v>
      </c>
      <c r="F7" s="42">
        <f>E7+365</f>
        <v>43823</v>
      </c>
      <c r="G7" s="42">
        <v>44189</v>
      </c>
      <c r="H7" s="42">
        <f>G7+365</f>
        <v>44554</v>
      </c>
      <c r="I7" s="551">
        <v>44918</v>
      </c>
      <c r="J7" s="551">
        <v>45282</v>
      </c>
      <c r="K7" s="42">
        <v>45650</v>
      </c>
      <c r="L7" s="42">
        <v>46015</v>
      </c>
      <c r="M7" s="42">
        <v>46380</v>
      </c>
    </row>
    <row r="8" spans="1:13" s="43" customFormat="1" ht="12.75">
      <c r="A8" s="291" t="s">
        <v>17</v>
      </c>
      <c r="B8" s="297">
        <v>42363</v>
      </c>
      <c r="C8" s="42">
        <v>42730</v>
      </c>
      <c r="D8" s="460" t="s">
        <v>427</v>
      </c>
      <c r="E8" s="42">
        <v>43459</v>
      </c>
      <c r="F8" s="42">
        <v>43824</v>
      </c>
      <c r="G8" s="42">
        <v>44190</v>
      </c>
      <c r="H8" s="308">
        <v>44557</v>
      </c>
      <c r="I8" s="551">
        <v>44921</v>
      </c>
      <c r="J8" s="42">
        <v>45285</v>
      </c>
      <c r="K8" s="42">
        <v>45651</v>
      </c>
      <c r="L8" s="42">
        <v>46016</v>
      </c>
      <c r="M8" s="42">
        <v>46381</v>
      </c>
    </row>
    <row r="9" spans="1:13" s="43" customFormat="1" ht="12.75">
      <c r="A9" s="291" t="s">
        <v>18</v>
      </c>
      <c r="B9" s="297">
        <v>42369</v>
      </c>
      <c r="C9" s="42">
        <v>42734</v>
      </c>
      <c r="D9" s="326" t="s">
        <v>428</v>
      </c>
      <c r="E9" s="308">
        <v>43465</v>
      </c>
      <c r="F9" s="42">
        <v>43830</v>
      </c>
      <c r="G9" s="42">
        <v>44196</v>
      </c>
      <c r="H9" s="308">
        <v>44561</v>
      </c>
      <c r="I9" s="551">
        <v>44925</v>
      </c>
      <c r="J9" s="551">
        <v>45289</v>
      </c>
      <c r="K9" s="42">
        <v>45657</v>
      </c>
      <c r="L9" s="42">
        <v>46022</v>
      </c>
      <c r="M9" s="42">
        <v>46387</v>
      </c>
    </row>
    <row r="10" spans="1:13" s="43" customFormat="1" ht="12.75">
      <c r="A10" s="291" t="s">
        <v>19</v>
      </c>
      <c r="B10" s="297">
        <v>42005</v>
      </c>
      <c r="C10" s="42">
        <v>42737</v>
      </c>
      <c r="D10" s="326">
        <v>43101</v>
      </c>
      <c r="E10" s="42">
        <v>43466</v>
      </c>
      <c r="F10" s="42">
        <f>E10+365</f>
        <v>43831</v>
      </c>
      <c r="G10" s="42">
        <v>44197</v>
      </c>
      <c r="H10" s="554" t="s">
        <v>531</v>
      </c>
      <c r="I10" s="554" t="s">
        <v>535</v>
      </c>
      <c r="J10" s="42">
        <v>45292</v>
      </c>
      <c r="K10" s="42">
        <v>45658</v>
      </c>
      <c r="L10" s="42">
        <v>46023</v>
      </c>
      <c r="M10" s="42">
        <v>46388</v>
      </c>
    </row>
    <row r="11" spans="1:13" s="43" customFormat="1" ht="12.75">
      <c r="A11" s="291" t="s">
        <v>20</v>
      </c>
      <c r="B11" s="297" t="s">
        <v>25</v>
      </c>
      <c r="C11" s="42">
        <f aca="true" t="shared" si="4" ref="C11:M11">DATE((C$2),1,CHOOSE(WEEKDAY(DATE((C$2),1,1)),16,15,21,20,19,18,17))</f>
        <v>42387</v>
      </c>
      <c r="D11" s="326">
        <f t="shared" si="4"/>
        <v>42751</v>
      </c>
      <c r="E11" s="42">
        <f t="shared" si="4"/>
        <v>43115</v>
      </c>
      <c r="F11" s="42">
        <f t="shared" si="4"/>
        <v>43486</v>
      </c>
      <c r="G11" s="42">
        <f t="shared" si="4"/>
        <v>43850</v>
      </c>
      <c r="H11" s="42">
        <f t="shared" si="4"/>
        <v>44214</v>
      </c>
      <c r="I11" s="42">
        <f t="shared" si="4"/>
        <v>44578</v>
      </c>
      <c r="J11" s="42">
        <f t="shared" si="4"/>
        <v>44942</v>
      </c>
      <c r="K11" s="42">
        <f t="shared" si="4"/>
        <v>45306</v>
      </c>
      <c r="L11" s="42">
        <f t="shared" si="4"/>
        <v>45677</v>
      </c>
      <c r="M11" s="42">
        <f t="shared" si="4"/>
        <v>46041</v>
      </c>
    </row>
    <row r="12" spans="1:13" s="43" customFormat="1" ht="12.75">
      <c r="A12" s="291" t="s">
        <v>21</v>
      </c>
      <c r="B12" s="297">
        <v>42047</v>
      </c>
      <c r="C12" s="42">
        <f>B12+365</f>
        <v>42412</v>
      </c>
      <c r="D12" s="326">
        <v>42779</v>
      </c>
      <c r="E12" s="308">
        <v>43143</v>
      </c>
      <c r="F12" s="42">
        <f>E12+365</f>
        <v>43508</v>
      </c>
      <c r="G12" s="42">
        <f>F12+365</f>
        <v>43873</v>
      </c>
      <c r="H12" s="42">
        <v>44239</v>
      </c>
      <c r="I12" s="551">
        <v>44603</v>
      </c>
      <c r="J12" s="551">
        <v>44970</v>
      </c>
      <c r="K12" s="42">
        <v>45334</v>
      </c>
      <c r="L12" s="42">
        <f>K12+366</f>
        <v>45700</v>
      </c>
      <c r="M12" s="42">
        <f>L12+365</f>
        <v>46065</v>
      </c>
    </row>
    <row r="13" spans="1:13" s="43" customFormat="1" ht="12.75">
      <c r="A13" s="291" t="s">
        <v>22</v>
      </c>
      <c r="B13" s="297" t="s">
        <v>522</v>
      </c>
      <c r="C13" s="42">
        <f aca="true" t="shared" si="5" ref="C13:M13">DATE((C$2),2,CHOOSE(WEEKDAY(DATE((C$2),2,1)),16,15,21,20,19,18,17))</f>
        <v>42415</v>
      </c>
      <c r="D13" s="326">
        <f t="shared" si="5"/>
        <v>42786</v>
      </c>
      <c r="E13" s="42">
        <f t="shared" si="5"/>
        <v>43150</v>
      </c>
      <c r="F13" s="42">
        <f t="shared" si="5"/>
        <v>43514</v>
      </c>
      <c r="G13" s="42">
        <f t="shared" si="5"/>
        <v>43878</v>
      </c>
      <c r="H13" s="42">
        <f t="shared" si="5"/>
        <v>44242</v>
      </c>
      <c r="I13" s="42">
        <f t="shared" si="5"/>
        <v>44613</v>
      </c>
      <c r="J13" s="42">
        <f t="shared" si="5"/>
        <v>44977</v>
      </c>
      <c r="K13" s="42">
        <f t="shared" si="5"/>
        <v>45341</v>
      </c>
      <c r="L13" s="42">
        <f t="shared" si="5"/>
        <v>45705</v>
      </c>
      <c r="M13" s="42">
        <f t="shared" si="5"/>
        <v>46069</v>
      </c>
    </row>
    <row r="14" spans="1:13" s="43" customFormat="1" ht="12.75">
      <c r="A14" s="291" t="s">
        <v>12</v>
      </c>
      <c r="B14" s="297" t="s">
        <v>26</v>
      </c>
      <c r="C14" s="42">
        <f aca="true" t="shared" si="6" ref="C14:M14">DATE((C$2),6,1)-WEEKDAY(DATE((C$2),6,6))</f>
        <v>42520</v>
      </c>
      <c r="D14" s="326">
        <f t="shared" si="6"/>
        <v>42884</v>
      </c>
      <c r="E14" s="42">
        <f t="shared" si="6"/>
        <v>43248</v>
      </c>
      <c r="F14" s="42">
        <f t="shared" si="6"/>
        <v>43612</v>
      </c>
      <c r="G14" s="42">
        <f t="shared" si="6"/>
        <v>43976</v>
      </c>
      <c r="H14" s="42">
        <f t="shared" si="6"/>
        <v>44347</v>
      </c>
      <c r="I14" s="42">
        <f t="shared" si="6"/>
        <v>44711</v>
      </c>
      <c r="J14" s="42">
        <f t="shared" si="6"/>
        <v>45075</v>
      </c>
      <c r="K14" s="42">
        <f t="shared" si="6"/>
        <v>45439</v>
      </c>
      <c r="L14" s="42">
        <f t="shared" si="6"/>
        <v>45803</v>
      </c>
      <c r="M14" s="42">
        <f t="shared" si="6"/>
        <v>46167</v>
      </c>
    </row>
    <row r="15" spans="1:13" s="43" customFormat="1" ht="12.75">
      <c r="A15" s="291" t="s">
        <v>529</v>
      </c>
      <c r="B15" s="297">
        <v>44366</v>
      </c>
      <c r="C15" s="42"/>
      <c r="D15" s="326"/>
      <c r="E15" s="42"/>
      <c r="F15" s="42"/>
      <c r="G15" s="42"/>
      <c r="H15" s="326">
        <v>44365</v>
      </c>
      <c r="I15" s="552">
        <v>44732</v>
      </c>
      <c r="J15" s="326">
        <v>45096</v>
      </c>
      <c r="K15" s="326">
        <v>45462</v>
      </c>
      <c r="L15" s="326">
        <v>45827</v>
      </c>
      <c r="M15" s="326">
        <v>46192</v>
      </c>
    </row>
    <row r="16" spans="1:14" s="43" customFormat="1" ht="12.75">
      <c r="A16" s="291" t="s">
        <v>23</v>
      </c>
      <c r="B16" s="297">
        <v>42189</v>
      </c>
      <c r="C16" s="42">
        <v>42555</v>
      </c>
      <c r="D16" s="42">
        <f>C16+365</f>
        <v>42920</v>
      </c>
      <c r="E16" s="42">
        <f>D16+365</f>
        <v>43285</v>
      </c>
      <c r="F16" s="42">
        <f>E16+365</f>
        <v>43650</v>
      </c>
      <c r="G16" s="42">
        <f>F16+365</f>
        <v>44015</v>
      </c>
      <c r="H16" s="308">
        <v>44382</v>
      </c>
      <c r="I16" s="326">
        <v>44746</v>
      </c>
      <c r="J16" s="326">
        <v>45111</v>
      </c>
      <c r="K16" s="326">
        <v>45477</v>
      </c>
      <c r="L16" s="326">
        <v>45842</v>
      </c>
      <c r="M16" s="571">
        <v>45842</v>
      </c>
      <c r="N16" s="572" t="s">
        <v>542</v>
      </c>
    </row>
    <row r="17" spans="1:11" ht="14.25">
      <c r="A17" s="1"/>
      <c r="B17" s="7"/>
      <c r="C17" s="35"/>
      <c r="D17" s="35"/>
      <c r="E17" s="35"/>
      <c r="F17" s="35"/>
      <c r="G17" s="35"/>
      <c r="H17" s="553" t="s">
        <v>530</v>
      </c>
      <c r="I17" s="553" t="s">
        <v>527</v>
      </c>
      <c r="J17" s="553" t="s">
        <v>527</v>
      </c>
      <c r="K17" s="553"/>
    </row>
    <row r="18" spans="1:10" ht="15">
      <c r="A18" s="310" t="s">
        <v>524</v>
      </c>
      <c r="J18" s="553" t="s">
        <v>528</v>
      </c>
    </row>
    <row r="19" spans="1:3" s="306" customFormat="1" ht="15">
      <c r="A19" s="307" t="s">
        <v>8</v>
      </c>
      <c r="B19" s="307" t="s">
        <v>284</v>
      </c>
      <c r="C19" s="305" t="s">
        <v>13</v>
      </c>
    </row>
    <row r="20" spans="1:9" s="43" customFormat="1" ht="12.75">
      <c r="A20" s="304">
        <f>'FT Non-Teaching (Bi-Wkly)'!B16</f>
      </c>
      <c r="B20" s="299">
        <f>A20</f>
      </c>
      <c r="C20" s="556">
        <f>IF(A20="","",IF(COUNTIF($C$3:$M$16,A20),"Holiday",""))</f>
      </c>
      <c r="D20" s="40"/>
      <c r="E20" s="40"/>
      <c r="F20" s="40"/>
      <c r="G20" s="573" t="s">
        <v>544</v>
      </c>
      <c r="H20" s="40"/>
      <c r="I20" s="574" t="s">
        <v>543</v>
      </c>
    </row>
    <row r="21" spans="1:8" s="43" customFormat="1" ht="12.75">
      <c r="A21" s="304">
        <f>'FT Non-Teaching (Bi-Wkly)'!B17</f>
      </c>
      <c r="B21" s="299">
        <f aca="true" t="shared" si="7" ref="B21:B26">A21</f>
      </c>
      <c r="C21" s="556">
        <f aca="true" t="shared" si="8" ref="C21:C26">IF(A21="","",IF(COUNTIF($C$3:$M$16,A21),"Holiday",""))</f>
      </c>
      <c r="D21" s="40"/>
      <c r="E21" s="40"/>
      <c r="F21" s="40"/>
      <c r="G21" s="40"/>
      <c r="H21" s="40"/>
    </row>
    <row r="22" spans="1:8" s="43" customFormat="1" ht="12.75">
      <c r="A22" s="304">
        <f>'FT Non-Teaching (Bi-Wkly)'!B18</f>
      </c>
      <c r="B22" s="299">
        <f t="shared" si="7"/>
      </c>
      <c r="C22" s="556">
        <f t="shared" si="8"/>
      </c>
      <c r="D22" s="40"/>
      <c r="E22" s="40"/>
      <c r="F22" s="40"/>
      <c r="G22" s="40"/>
      <c r="H22" s="40"/>
    </row>
    <row r="23" spans="1:8" s="43" customFormat="1" ht="12.75">
      <c r="A23" s="304">
        <f>'FT Non-Teaching (Bi-Wkly)'!B19</f>
      </c>
      <c r="B23" s="299">
        <f t="shared" si="7"/>
      </c>
      <c r="C23" s="556">
        <f t="shared" si="8"/>
      </c>
      <c r="D23" s="40"/>
      <c r="E23" s="40"/>
      <c r="F23" s="40"/>
      <c r="G23" s="40"/>
      <c r="H23" s="40"/>
    </row>
    <row r="24" spans="1:8" s="43" customFormat="1" ht="12.75">
      <c r="A24" s="304">
        <f>'FT Non-Teaching (Bi-Wkly)'!B20</f>
      </c>
      <c r="B24" s="299">
        <f t="shared" si="7"/>
      </c>
      <c r="C24" s="556">
        <f t="shared" si="8"/>
      </c>
      <c r="D24" s="40"/>
      <c r="E24" s="40"/>
      <c r="F24" s="40"/>
      <c r="G24" s="40"/>
      <c r="H24" s="40"/>
    </row>
    <row r="25" spans="1:8" s="43" customFormat="1" ht="12.75">
      <c r="A25" s="304">
        <f>'FT Non-Teaching (Bi-Wkly)'!B21</f>
      </c>
      <c r="B25" s="299">
        <f t="shared" si="7"/>
      </c>
      <c r="C25" s="556">
        <f t="shared" si="8"/>
      </c>
      <c r="D25" s="40"/>
      <c r="E25" s="40"/>
      <c r="F25" s="40"/>
      <c r="G25" s="40"/>
      <c r="H25" s="40"/>
    </row>
    <row r="26" spans="1:8" s="43" customFormat="1" ht="12.75">
      <c r="A26" s="304">
        <f>'FT Non-Teaching (Bi-Wkly)'!B22</f>
      </c>
      <c r="B26" s="299">
        <f t="shared" si="7"/>
      </c>
      <c r="C26" s="556">
        <f t="shared" si="8"/>
      </c>
      <c r="D26" s="40"/>
      <c r="E26" s="40"/>
      <c r="F26" s="40"/>
      <c r="G26" s="40"/>
      <c r="H26" s="40"/>
    </row>
    <row r="27" spans="1:8" s="43" customFormat="1" ht="12.75">
      <c r="A27" s="165"/>
      <c r="B27" s="301"/>
      <c r="C27" s="300"/>
      <c r="D27" s="40"/>
      <c r="E27" s="40"/>
      <c r="F27" s="40"/>
      <c r="G27" s="40"/>
      <c r="H27" s="40"/>
    </row>
    <row r="28" spans="1:8" s="43" customFormat="1" ht="12.75">
      <c r="A28" s="165"/>
      <c r="B28" s="302"/>
      <c r="C28" s="303"/>
      <c r="D28" s="40"/>
      <c r="E28" s="40"/>
      <c r="F28" s="40"/>
      <c r="G28" s="40"/>
      <c r="H28" s="40"/>
    </row>
    <row r="29" spans="1:8" s="43" customFormat="1" ht="12.75">
      <c r="A29" s="304">
        <f>'FT Non-Teaching (Bi-Wkly)'!B27</f>
      </c>
      <c r="B29" s="299">
        <f>A29</f>
      </c>
      <c r="C29" s="556">
        <f aca="true" t="shared" si="9" ref="C29:C35">IF(A29="","",IF(COUNTIF($C$3:$M$16,A29),"Holiday",""))</f>
      </c>
      <c r="D29" s="40"/>
      <c r="E29" s="40"/>
      <c r="F29" s="40"/>
      <c r="G29" s="40"/>
      <c r="H29" s="40"/>
    </row>
    <row r="30" spans="1:8" s="43" customFormat="1" ht="12.75">
      <c r="A30" s="304">
        <f>'FT Non-Teaching (Bi-Wkly)'!B28</f>
      </c>
      <c r="B30" s="299">
        <f aca="true" t="shared" si="10" ref="B30:B35">A30</f>
      </c>
      <c r="C30" s="556">
        <f t="shared" si="9"/>
      </c>
      <c r="D30" s="40"/>
      <c r="E30" s="40"/>
      <c r="F30" s="40"/>
      <c r="G30" s="40"/>
      <c r="H30" s="40"/>
    </row>
    <row r="31" spans="1:8" s="43" customFormat="1" ht="12.75">
      <c r="A31" s="304">
        <f>'FT Non-Teaching (Bi-Wkly)'!B29</f>
      </c>
      <c r="B31" s="299">
        <f t="shared" si="10"/>
      </c>
      <c r="C31" s="556">
        <f t="shared" si="9"/>
      </c>
      <c r="D31" s="40"/>
      <c r="E31" s="40"/>
      <c r="F31" s="40"/>
      <c r="G31" s="40"/>
      <c r="H31" s="40"/>
    </row>
    <row r="32" spans="1:8" s="43" customFormat="1" ht="12.75">
      <c r="A32" s="304">
        <f>'FT Non-Teaching (Bi-Wkly)'!B30</f>
      </c>
      <c r="B32" s="299">
        <f t="shared" si="10"/>
      </c>
      <c r="C32" s="556">
        <f t="shared" si="9"/>
      </c>
      <c r="D32" s="40"/>
      <c r="E32" s="40"/>
      <c r="F32" s="40"/>
      <c r="G32" s="40"/>
      <c r="H32" s="40"/>
    </row>
    <row r="33" spans="1:8" s="43" customFormat="1" ht="12.75">
      <c r="A33" s="304">
        <f>'FT Non-Teaching (Bi-Wkly)'!B31</f>
      </c>
      <c r="B33" s="299">
        <f t="shared" si="10"/>
      </c>
      <c r="C33" s="556">
        <f t="shared" si="9"/>
      </c>
      <c r="D33" s="40"/>
      <c r="E33" s="40"/>
      <c r="F33" s="40"/>
      <c r="G33" s="40"/>
      <c r="H33" s="40"/>
    </row>
    <row r="34" spans="1:8" s="43" customFormat="1" ht="12.75">
      <c r="A34" s="304">
        <f>'FT Non-Teaching (Bi-Wkly)'!B32</f>
      </c>
      <c r="B34" s="299">
        <f t="shared" si="10"/>
      </c>
      <c r="C34" s="556">
        <f t="shared" si="9"/>
      </c>
      <c r="D34" s="40"/>
      <c r="E34" s="40"/>
      <c r="F34" s="40"/>
      <c r="G34" s="40"/>
      <c r="H34" s="40"/>
    </row>
    <row r="35" spans="1:8" s="43" customFormat="1" ht="12.75">
      <c r="A35" s="304">
        <f>'FT Non-Teaching (Bi-Wkly)'!B33</f>
      </c>
      <c r="B35" s="299">
        <f t="shared" si="10"/>
      </c>
      <c r="C35" s="556">
        <f t="shared" si="9"/>
      </c>
      <c r="D35" s="40"/>
      <c r="E35" s="40"/>
      <c r="F35" s="40"/>
      <c r="G35" s="40"/>
      <c r="H35" s="40"/>
    </row>
    <row r="36" spans="1:8" s="43" customFormat="1" ht="12.75">
      <c r="A36" s="165"/>
      <c r="B36" s="301"/>
      <c r="C36" s="303"/>
      <c r="D36" s="40"/>
      <c r="E36" s="40"/>
      <c r="F36" s="40"/>
      <c r="G36" s="40"/>
      <c r="H36" s="40"/>
    </row>
    <row r="37" spans="1:8" s="43" customFormat="1" ht="12.75">
      <c r="A37" s="165"/>
      <c r="B37" s="301"/>
      <c r="C37" s="303"/>
      <c r="D37" s="40"/>
      <c r="E37" s="40"/>
      <c r="F37" s="40"/>
      <c r="G37" s="40"/>
      <c r="H37" s="40"/>
    </row>
    <row r="38" spans="1:8" s="43" customFormat="1" ht="12.75">
      <c r="A38" s="165"/>
      <c r="B38" s="301"/>
      <c r="C38" s="303"/>
      <c r="D38" s="40"/>
      <c r="E38" s="40"/>
      <c r="F38" s="40"/>
      <c r="G38" s="40"/>
      <c r="H38" s="40"/>
    </row>
    <row r="39" spans="1:10" s="43" customFormat="1" ht="18.75">
      <c r="A39" s="230" t="s">
        <v>525</v>
      </c>
      <c r="B39" s="301"/>
      <c r="C39" s="303"/>
      <c r="D39" s="40"/>
      <c r="E39" s="40"/>
      <c r="F39" s="40"/>
      <c r="G39" s="40"/>
      <c r="H39" s="40"/>
      <c r="I39" s="172"/>
      <c r="J39" s="172"/>
    </row>
    <row r="40" spans="1:10" s="43" customFormat="1" ht="15">
      <c r="A40" s="307" t="s">
        <v>8</v>
      </c>
      <c r="B40" s="307" t="s">
        <v>284</v>
      </c>
      <c r="C40" s="305" t="s">
        <v>13</v>
      </c>
      <c r="D40" s="40"/>
      <c r="E40" s="40"/>
      <c r="F40" s="40"/>
      <c r="G40" s="40"/>
      <c r="H40" s="40"/>
      <c r="I40" s="172"/>
      <c r="J40" s="172"/>
    </row>
    <row r="41" spans="1:10" s="43" customFormat="1" ht="12.75">
      <c r="A41" s="304">
        <f>'Hourly (Weekly)'!B19</f>
      </c>
      <c r="B41" s="299">
        <f>A41</f>
      </c>
      <c r="C41" s="556">
        <f>IF(A41="","",IF(COUNTIF($C$3:$M$16,A41),"Holiday",""))</f>
      </c>
      <c r="D41" s="40"/>
      <c r="E41" s="40"/>
      <c r="F41" s="40"/>
      <c r="G41" s="573" t="s">
        <v>544</v>
      </c>
      <c r="H41" s="40"/>
      <c r="I41" s="574" t="s">
        <v>543</v>
      </c>
      <c r="J41" s="556"/>
    </row>
    <row r="42" spans="1:10" s="43" customFormat="1" ht="12.75">
      <c r="A42" s="304">
        <f>'Hourly (Weekly)'!B20</f>
      </c>
      <c r="B42" s="299">
        <f aca="true" t="shared" si="11" ref="B42:B47">A42</f>
      </c>
      <c r="C42" s="556">
        <f aca="true" t="shared" si="12" ref="C42:C47">IF(A42="","",IF(COUNTIF($C$3:$M$16,A42),"Holiday",""))</f>
      </c>
      <c r="D42" s="40"/>
      <c r="E42" s="40"/>
      <c r="F42" s="40"/>
      <c r="G42" s="40"/>
      <c r="H42" s="40"/>
      <c r="I42" s="556"/>
      <c r="J42" s="172"/>
    </row>
    <row r="43" spans="1:10" ht="12.75">
      <c r="A43" s="304">
        <f>'Hourly (Weekly)'!B21</f>
      </c>
      <c r="B43" s="299">
        <f t="shared" si="11"/>
      </c>
      <c r="C43" s="556">
        <f t="shared" si="12"/>
      </c>
      <c r="I43" s="556"/>
      <c r="J43" s="72"/>
    </row>
    <row r="44" spans="1:10" ht="12.75">
      <c r="A44" s="304">
        <f>'Hourly (Weekly)'!B22</f>
      </c>
      <c r="B44" s="299">
        <f t="shared" si="11"/>
      </c>
      <c r="C44" s="556">
        <f t="shared" si="12"/>
      </c>
      <c r="I44" s="556"/>
      <c r="J44" s="72"/>
    </row>
    <row r="45" spans="1:10" ht="12.75">
      <c r="A45" s="304">
        <f>'Hourly (Weekly)'!B23</f>
      </c>
      <c r="B45" s="299">
        <f t="shared" si="11"/>
      </c>
      <c r="C45" s="556">
        <f t="shared" si="12"/>
      </c>
      <c r="I45" s="556"/>
      <c r="J45" s="72"/>
    </row>
    <row r="46" spans="1:10" ht="12.75">
      <c r="A46" s="304">
        <f>'Hourly (Weekly)'!B24</f>
      </c>
      <c r="B46" s="299">
        <f t="shared" si="11"/>
      </c>
      <c r="C46" s="556">
        <f t="shared" si="12"/>
      </c>
      <c r="I46" s="556"/>
      <c r="J46" s="72"/>
    </row>
    <row r="47" spans="1:10" ht="12.75">
      <c r="A47" s="304">
        <f>'Hourly (Weekly)'!B25</f>
      </c>
      <c r="B47" s="299">
        <f t="shared" si="11"/>
      </c>
      <c r="C47" s="556">
        <f t="shared" si="12"/>
      </c>
      <c r="I47" s="556"/>
      <c r="J47" s="72"/>
    </row>
    <row r="48" spans="1:10" ht="14.25">
      <c r="A48" s="1"/>
      <c r="B48" s="8"/>
      <c r="I48" s="72"/>
      <c r="J48" s="72"/>
    </row>
    <row r="49" spans="1:10" ht="14.25">
      <c r="A49" s="1"/>
      <c r="B49" s="9"/>
      <c r="I49" s="72"/>
      <c r="J49" s="72"/>
    </row>
    <row r="50" spans="1:2" ht="14.25">
      <c r="A50" s="1"/>
      <c r="B50" s="8"/>
    </row>
    <row r="51" spans="1:4" ht="15">
      <c r="A51" s="310" t="s">
        <v>526</v>
      </c>
      <c r="B51" s="8"/>
      <c r="C51" s="71"/>
      <c r="D51" s="71"/>
    </row>
    <row r="52" spans="1:4" ht="15">
      <c r="A52" s="307" t="s">
        <v>8</v>
      </c>
      <c r="B52" s="307" t="s">
        <v>284</v>
      </c>
      <c r="C52" s="305" t="s">
        <v>13</v>
      </c>
      <c r="D52" s="71"/>
    </row>
    <row r="53" spans="1:9" ht="12.75">
      <c r="A53" s="304" t="str">
        <f>'ECP &amp; Prof. Staff (Monthly)'!C12</f>
        <v>Select the Month</v>
      </c>
      <c r="B53" s="299" t="str">
        <f>A53</f>
        <v>Select the Month</v>
      </c>
      <c r="C53" s="530">
        <f>IF(COUNTIF($C$3:$L$16,B53),"Holiday","")</f>
      </c>
      <c r="G53" s="573" t="s">
        <v>544</v>
      </c>
      <c r="H53" s="40"/>
      <c r="I53" s="574" t="s">
        <v>543</v>
      </c>
    </row>
    <row r="54" spans="1:4" ht="15">
      <c r="A54" s="304" t="e">
        <f>'ECP &amp; Prof. Staff (Monthly)'!C13</f>
        <v>#N/A</v>
      </c>
      <c r="B54" s="299" t="e">
        <f aca="true" t="shared" si="13" ref="B54:B84">A54</f>
        <v>#N/A</v>
      </c>
      <c r="C54" s="303">
        <f>IF(COUNTIF($C$3:$M$16,B54),"Holiday","")</f>
      </c>
      <c r="D54" s="313"/>
    </row>
    <row r="55" spans="1:4" ht="15">
      <c r="A55" s="304" t="e">
        <f>'ECP &amp; Prof. Staff (Monthly)'!C14</f>
        <v>#N/A</v>
      </c>
      <c r="B55" s="299" t="e">
        <f t="shared" si="13"/>
        <v>#N/A</v>
      </c>
      <c r="C55" s="303">
        <f aca="true" t="shared" si="14" ref="C55:C83">IF(COUNTIF($C$3:$M$16,B55),"Holiday","")</f>
      </c>
      <c r="D55" s="313"/>
    </row>
    <row r="56" spans="1:4" ht="15">
      <c r="A56" s="304" t="e">
        <f>'ECP &amp; Prof. Staff (Monthly)'!C15</f>
        <v>#N/A</v>
      </c>
      <c r="B56" s="299" t="e">
        <f t="shared" si="13"/>
        <v>#N/A</v>
      </c>
      <c r="C56" s="303">
        <f t="shared" si="14"/>
      </c>
      <c r="D56" s="313"/>
    </row>
    <row r="57" spans="1:4" ht="15">
      <c r="A57" s="304" t="e">
        <f>'ECP &amp; Prof. Staff (Monthly)'!C16</f>
        <v>#N/A</v>
      </c>
      <c r="B57" s="299" t="e">
        <f t="shared" si="13"/>
        <v>#N/A</v>
      </c>
      <c r="C57" s="303">
        <f t="shared" si="14"/>
      </c>
      <c r="D57" s="313"/>
    </row>
    <row r="58" spans="1:4" ht="15">
      <c r="A58" s="304" t="e">
        <f>'ECP &amp; Prof. Staff (Monthly)'!C17</f>
        <v>#N/A</v>
      </c>
      <c r="B58" s="299" t="e">
        <f t="shared" si="13"/>
        <v>#N/A</v>
      </c>
      <c r="C58" s="303">
        <f t="shared" si="14"/>
      </c>
      <c r="D58" s="313"/>
    </row>
    <row r="59" spans="1:4" ht="15">
      <c r="A59" s="304" t="e">
        <f>'ECP &amp; Prof. Staff (Monthly)'!C18</f>
        <v>#N/A</v>
      </c>
      <c r="B59" s="299" t="e">
        <f t="shared" si="13"/>
        <v>#N/A</v>
      </c>
      <c r="C59" s="303">
        <f t="shared" si="14"/>
      </c>
      <c r="D59" s="313"/>
    </row>
    <row r="60" spans="1:4" ht="15">
      <c r="A60" s="304" t="e">
        <f>'ECP &amp; Prof. Staff (Monthly)'!C19</f>
        <v>#N/A</v>
      </c>
      <c r="B60" s="299" t="e">
        <f t="shared" si="13"/>
        <v>#N/A</v>
      </c>
      <c r="C60" s="303">
        <f t="shared" si="14"/>
      </c>
      <c r="D60" s="313"/>
    </row>
    <row r="61" spans="1:4" ht="15">
      <c r="A61" s="304" t="e">
        <f>'ECP &amp; Prof. Staff (Monthly)'!C20</f>
        <v>#N/A</v>
      </c>
      <c r="B61" s="299" t="e">
        <f t="shared" si="13"/>
        <v>#N/A</v>
      </c>
      <c r="C61" s="303">
        <f t="shared" si="14"/>
      </c>
      <c r="D61" s="313"/>
    </row>
    <row r="62" spans="1:4" ht="15">
      <c r="A62" s="304" t="e">
        <f>'ECP &amp; Prof. Staff (Monthly)'!C21</f>
        <v>#N/A</v>
      </c>
      <c r="B62" s="299" t="e">
        <f t="shared" si="13"/>
        <v>#N/A</v>
      </c>
      <c r="C62" s="303">
        <f t="shared" si="14"/>
      </c>
      <c r="D62" s="313"/>
    </row>
    <row r="63" spans="1:4" ht="15">
      <c r="A63" s="304" t="e">
        <f>'ECP &amp; Prof. Staff (Monthly)'!I12</f>
        <v>#N/A</v>
      </c>
      <c r="B63" s="299" t="e">
        <f t="shared" si="13"/>
        <v>#N/A</v>
      </c>
      <c r="C63" s="303">
        <f t="shared" si="14"/>
      </c>
      <c r="D63" s="313"/>
    </row>
    <row r="64" spans="1:4" ht="15">
      <c r="A64" s="304" t="e">
        <f>'ECP &amp; Prof. Staff (Monthly)'!I13</f>
        <v>#N/A</v>
      </c>
      <c r="B64" s="299" t="e">
        <f t="shared" si="13"/>
        <v>#N/A</v>
      </c>
      <c r="C64" s="303">
        <f t="shared" si="14"/>
      </c>
      <c r="D64" s="313"/>
    </row>
    <row r="65" spans="1:4" ht="15">
      <c r="A65" s="304" t="e">
        <f>'ECP &amp; Prof. Staff (Monthly)'!I14</f>
        <v>#N/A</v>
      </c>
      <c r="B65" s="299" t="e">
        <f t="shared" si="13"/>
        <v>#N/A</v>
      </c>
      <c r="C65" s="303">
        <f t="shared" si="14"/>
      </c>
      <c r="D65" s="313"/>
    </row>
    <row r="66" spans="1:4" ht="15">
      <c r="A66" s="304" t="e">
        <f>'ECP &amp; Prof. Staff (Monthly)'!I15</f>
        <v>#N/A</v>
      </c>
      <c r="B66" s="299" t="e">
        <f t="shared" si="13"/>
        <v>#N/A</v>
      </c>
      <c r="C66" s="303">
        <f t="shared" si="14"/>
      </c>
      <c r="D66" s="313"/>
    </row>
    <row r="67" spans="1:4" ht="15">
      <c r="A67" s="304" t="e">
        <f>'ECP &amp; Prof. Staff (Monthly)'!I16</f>
        <v>#N/A</v>
      </c>
      <c r="B67" s="299" t="e">
        <f t="shared" si="13"/>
        <v>#N/A</v>
      </c>
      <c r="C67" s="303">
        <f t="shared" si="14"/>
      </c>
      <c r="D67" s="313"/>
    </row>
    <row r="68" spans="1:4" ht="15">
      <c r="A68" s="304" t="e">
        <f>'ECP &amp; Prof. Staff (Monthly)'!I17</f>
        <v>#N/A</v>
      </c>
      <c r="B68" s="299" t="e">
        <f t="shared" si="13"/>
        <v>#N/A</v>
      </c>
      <c r="C68" s="303">
        <f t="shared" si="14"/>
      </c>
      <c r="D68" s="313"/>
    </row>
    <row r="69" spans="1:4" ht="15">
      <c r="A69" s="304" t="e">
        <f>'ECP &amp; Prof. Staff (Monthly)'!I18</f>
        <v>#N/A</v>
      </c>
      <c r="B69" s="299" t="e">
        <f t="shared" si="13"/>
        <v>#N/A</v>
      </c>
      <c r="C69" s="303">
        <f t="shared" si="14"/>
      </c>
      <c r="D69" s="313"/>
    </row>
    <row r="70" spans="1:4" ht="15">
      <c r="A70" s="304" t="e">
        <f>'ECP &amp; Prof. Staff (Monthly)'!I19</f>
        <v>#N/A</v>
      </c>
      <c r="B70" s="299" t="e">
        <f t="shared" si="13"/>
        <v>#N/A</v>
      </c>
      <c r="C70" s="303">
        <f t="shared" si="14"/>
      </c>
      <c r="D70" s="313"/>
    </row>
    <row r="71" spans="1:4" ht="15">
      <c r="A71" s="304" t="e">
        <f>'ECP &amp; Prof. Staff (Monthly)'!I20</f>
        <v>#N/A</v>
      </c>
      <c r="B71" s="299" t="e">
        <f t="shared" si="13"/>
        <v>#N/A</v>
      </c>
      <c r="C71" s="303">
        <f t="shared" si="14"/>
      </c>
      <c r="D71" s="313"/>
    </row>
    <row r="72" spans="1:4" ht="15">
      <c r="A72" s="304" t="e">
        <f>'ECP &amp; Prof. Staff (Monthly)'!I21</f>
        <v>#N/A</v>
      </c>
      <c r="B72" s="299" t="e">
        <f t="shared" si="13"/>
        <v>#N/A</v>
      </c>
      <c r="C72" s="303">
        <f t="shared" si="14"/>
      </c>
      <c r="D72" s="313"/>
    </row>
    <row r="73" spans="1:4" ht="15">
      <c r="A73" s="304" t="e">
        <f>'ECP &amp; Prof. Staff (Monthly)'!O12</f>
        <v>#N/A</v>
      </c>
      <c r="B73" s="299" t="e">
        <f t="shared" si="13"/>
        <v>#N/A</v>
      </c>
      <c r="C73" s="303">
        <f t="shared" si="14"/>
      </c>
      <c r="D73" s="313"/>
    </row>
    <row r="74" spans="1:4" ht="15">
      <c r="A74" s="304" t="e">
        <f>'ECP &amp; Prof. Staff (Monthly)'!O13</f>
        <v>#N/A</v>
      </c>
      <c r="B74" s="299" t="e">
        <f t="shared" si="13"/>
        <v>#N/A</v>
      </c>
      <c r="C74" s="303">
        <f t="shared" si="14"/>
      </c>
      <c r="D74" s="313"/>
    </row>
    <row r="75" spans="1:4" ht="15">
      <c r="A75" s="304" t="e">
        <f>'ECP &amp; Prof. Staff (Monthly)'!O14</f>
        <v>#N/A</v>
      </c>
      <c r="B75" s="299" t="e">
        <f t="shared" si="13"/>
        <v>#N/A</v>
      </c>
      <c r="C75" s="303">
        <f t="shared" si="14"/>
      </c>
      <c r="D75" s="313"/>
    </row>
    <row r="76" spans="1:4" ht="15">
      <c r="A76" s="304" t="e">
        <f>'ECP &amp; Prof. Staff (Monthly)'!O15</f>
        <v>#N/A</v>
      </c>
      <c r="B76" s="299" t="e">
        <f t="shared" si="13"/>
        <v>#N/A</v>
      </c>
      <c r="C76" s="303">
        <f t="shared" si="14"/>
      </c>
      <c r="D76" s="313"/>
    </row>
    <row r="77" spans="1:4" ht="15">
      <c r="A77" s="304" t="e">
        <f>'ECP &amp; Prof. Staff (Monthly)'!O16</f>
        <v>#N/A</v>
      </c>
      <c r="B77" s="299" t="e">
        <f t="shared" si="13"/>
        <v>#N/A</v>
      </c>
      <c r="C77" s="303">
        <f t="shared" si="14"/>
      </c>
      <c r="D77" s="313"/>
    </row>
    <row r="78" spans="1:4" ht="15">
      <c r="A78" s="304" t="e">
        <f>'ECP &amp; Prof. Staff (Monthly)'!O17</f>
        <v>#N/A</v>
      </c>
      <c r="B78" s="299" t="e">
        <f t="shared" si="13"/>
        <v>#N/A</v>
      </c>
      <c r="C78" s="303">
        <f t="shared" si="14"/>
      </c>
      <c r="D78" s="313"/>
    </row>
    <row r="79" spans="1:4" ht="15">
      <c r="A79" s="304" t="e">
        <f>'ECP &amp; Prof. Staff (Monthly)'!O18</f>
        <v>#N/A</v>
      </c>
      <c r="B79" s="299" t="e">
        <f t="shared" si="13"/>
        <v>#N/A</v>
      </c>
      <c r="C79" s="303">
        <f t="shared" si="14"/>
      </c>
      <c r="D79" s="313"/>
    </row>
    <row r="80" spans="1:4" ht="15">
      <c r="A80" s="304" t="e">
        <f>'ECP &amp; Prof. Staff (Monthly)'!O19</f>
        <v>#N/A</v>
      </c>
      <c r="B80" s="299" t="e">
        <f t="shared" si="13"/>
        <v>#N/A</v>
      </c>
      <c r="C80" s="303">
        <f t="shared" si="14"/>
      </c>
      <c r="D80" s="313"/>
    </row>
    <row r="81" spans="1:4" ht="15">
      <c r="A81" s="304" t="e">
        <f>'ECP &amp; Prof. Staff (Monthly)'!O20</f>
        <v>#N/A</v>
      </c>
      <c r="B81" s="299" t="e">
        <f t="shared" si="13"/>
        <v>#N/A</v>
      </c>
      <c r="C81" s="303">
        <f t="shared" si="14"/>
      </c>
      <c r="D81" s="313"/>
    </row>
    <row r="82" spans="1:4" ht="15">
      <c r="A82" s="304" t="e">
        <f>'ECP &amp; Prof. Staff (Monthly)'!O21</f>
        <v>#N/A</v>
      </c>
      <c r="B82" s="299" t="e">
        <f t="shared" si="13"/>
        <v>#N/A</v>
      </c>
      <c r="C82" s="303">
        <f t="shared" si="14"/>
      </c>
      <c r="D82" s="313"/>
    </row>
    <row r="83" spans="1:4" ht="15">
      <c r="A83" s="304" t="e">
        <f>'ECP &amp; Prof. Staff (Monthly)'!O22</f>
        <v>#N/A</v>
      </c>
      <c r="B83" s="299" t="e">
        <f t="shared" si="13"/>
        <v>#N/A</v>
      </c>
      <c r="C83" s="303">
        <f t="shared" si="14"/>
      </c>
      <c r="D83" s="313"/>
    </row>
    <row r="84" spans="1:4" ht="15">
      <c r="A84" s="26" t="str">
        <f>'ECP &amp; Prof. Staff (Monthly)'!O23</f>
        <v> </v>
      </c>
      <c r="B84" s="299" t="str">
        <f t="shared" si="13"/>
        <v> </v>
      </c>
      <c r="C84" s="312"/>
      <c r="D84" s="313"/>
    </row>
    <row r="85" ht="14.25">
      <c r="A85" s="1"/>
    </row>
    <row r="86" ht="14.25">
      <c r="A86" s="1"/>
    </row>
    <row r="87" ht="14.25">
      <c r="A87" s="1"/>
    </row>
    <row r="88" ht="12.75">
      <c r="A88" s="2"/>
    </row>
    <row r="89" ht="12.75">
      <c r="A89" s="2"/>
    </row>
    <row r="90" ht="12.75">
      <c r="A90" s="3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2"/>
    </row>
    <row r="97" ht="12.75">
      <c r="A97" s="2"/>
    </row>
    <row r="98" ht="12.75">
      <c r="A98" s="3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2"/>
    </row>
    <row r="105" ht="12.75">
      <c r="A105" s="2"/>
    </row>
    <row r="106" ht="12.75">
      <c r="A106" s="5"/>
    </row>
    <row r="107" ht="12.75">
      <c r="A107" s="2"/>
    </row>
    <row r="108" ht="12.75">
      <c r="A108" s="2"/>
    </row>
    <row r="109" ht="12.75">
      <c r="A109" s="2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2"/>
    </row>
    <row r="116" ht="12.75">
      <c r="A116" s="2"/>
    </row>
    <row r="117" ht="12.75">
      <c r="A117" s="2"/>
    </row>
    <row r="118" ht="12.75">
      <c r="A118" s="3"/>
    </row>
    <row r="119" ht="12.75">
      <c r="A119" s="2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6"/>
    </row>
    <row r="132" ht="12.75">
      <c r="A132" s="2"/>
    </row>
    <row r="133" ht="12.75">
      <c r="A133" s="2"/>
    </row>
    <row r="134" ht="12.75">
      <c r="A134" s="2"/>
    </row>
    <row r="135" ht="12.75">
      <c r="A135" s="6"/>
    </row>
    <row r="136" ht="12.75">
      <c r="A136" s="2"/>
    </row>
    <row r="137" ht="12.75">
      <c r="A137" s="2"/>
    </row>
    <row r="138" ht="12.75">
      <c r="A138" s="2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3"/>
    </row>
    <row r="156" ht="12.75">
      <c r="A156" s="2"/>
    </row>
    <row r="157" ht="12.75">
      <c r="A157" s="3"/>
    </row>
    <row r="158" ht="12.75">
      <c r="A158" s="2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3"/>
    </row>
    <row r="174" ht="12.75">
      <c r="A174" s="2"/>
    </row>
    <row r="175" ht="12.75">
      <c r="A175" s="3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2"/>
    </row>
    <row r="187" ht="12.75">
      <c r="A187" s="2"/>
    </row>
    <row r="188" ht="12.75">
      <c r="A188" s="6"/>
    </row>
    <row r="189" ht="12.75">
      <c r="A189" s="2"/>
    </row>
    <row r="190" ht="12.75">
      <c r="A190" s="2"/>
    </row>
    <row r="191" ht="12.75">
      <c r="A191" s="2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2"/>
    </row>
    <row r="198" ht="12.75">
      <c r="A198" s="2"/>
    </row>
    <row r="199" ht="12.75">
      <c r="A199" s="2"/>
    </row>
    <row r="200" ht="12.75">
      <c r="A200" s="3"/>
    </row>
    <row r="201" ht="12.75">
      <c r="A201" s="2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2"/>
    </row>
    <row r="208" ht="12.75">
      <c r="A208" s="2"/>
    </row>
    <row r="209" ht="12.75">
      <c r="A209" s="6"/>
    </row>
    <row r="210" ht="12.75">
      <c r="A210" s="2"/>
    </row>
    <row r="211" ht="12.75">
      <c r="A211" s="2"/>
    </row>
    <row r="212" ht="12.75">
      <c r="A212" s="2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2"/>
    </row>
    <row r="219" ht="12.75">
      <c r="A219" s="2"/>
    </row>
    <row r="220" ht="12.75">
      <c r="A220" s="6"/>
    </row>
    <row r="221" ht="12.75">
      <c r="A221" s="2"/>
    </row>
    <row r="222" ht="12.75">
      <c r="A222" s="2"/>
    </row>
    <row r="223" ht="12.75">
      <c r="A223" s="2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3"/>
    </row>
    <row r="234" ht="12.75">
      <c r="A234" s="2"/>
    </row>
  </sheetData>
  <sheetProtection password="E508" sheet="1" selectLockedCells="1"/>
  <printOptions/>
  <pageMargins left="0.7" right="0.7" top="0.75" bottom="0.75" header="0.3" footer="0.3"/>
  <pageSetup fitToHeight="0" fitToWidth="1" horizontalDpi="600" verticalDpi="600" orientation="landscape" r:id="rId3"/>
  <ignoredErrors>
    <ignoredError sqref="D11 E11:G11 I11:K11 C54" 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D77"/>
  <sheetViews>
    <sheetView zoomScalePageLayoutView="0" workbookViewId="0" topLeftCell="N1">
      <selection activeCell="O1" sqref="O1:P1"/>
    </sheetView>
  </sheetViews>
  <sheetFormatPr defaultColWidth="9.140625" defaultRowHeight="12.75"/>
  <cols>
    <col min="1" max="2" width="9.140625" style="95" customWidth="1"/>
    <col min="3" max="3" width="14.8515625" style="95" customWidth="1"/>
    <col min="4" max="5" width="9.140625" style="95" customWidth="1"/>
    <col min="6" max="6" width="3.28125" style="95" customWidth="1"/>
    <col min="7" max="7" width="25.57421875" style="95" customWidth="1"/>
    <col min="8" max="10" width="9.140625" style="95" customWidth="1"/>
    <col min="11" max="11" width="26.421875" style="95" customWidth="1"/>
    <col min="12" max="12" width="20.140625" style="95" customWidth="1"/>
    <col min="13" max="13" width="60.00390625" style="95" customWidth="1"/>
    <col min="14" max="14" width="1.8515625" style="95" customWidth="1"/>
    <col min="15" max="15" width="31.8515625" style="95" customWidth="1"/>
    <col min="16" max="16" width="12.421875" style="95" customWidth="1"/>
    <col min="17" max="17" width="10.28125" style="95" customWidth="1"/>
    <col min="18" max="19" width="9.140625" style="95" customWidth="1"/>
    <col min="20" max="20" width="6.140625" style="95" customWidth="1"/>
    <col min="21" max="21" width="9.140625" style="95" customWidth="1"/>
    <col min="22" max="22" width="11.421875" style="95" customWidth="1"/>
    <col min="23" max="23" width="2.28125" style="95" customWidth="1"/>
    <col min="24" max="25" width="3.28125" style="95" customWidth="1"/>
    <col min="26" max="26" width="9.8515625" style="95" customWidth="1"/>
    <col min="27" max="27" width="18.8515625" style="95" customWidth="1"/>
    <col min="28" max="29" width="9.140625" style="95" customWidth="1"/>
    <col min="30" max="30" width="52.57421875" style="95" customWidth="1"/>
    <col min="31" max="16384" width="9.140625" style="95" customWidth="1"/>
  </cols>
  <sheetData>
    <row r="1" spans="1:27" ht="14.25" thickBot="1">
      <c r="A1" s="93"/>
      <c r="B1" s="781" t="s">
        <v>35</v>
      </c>
      <c r="C1" s="782"/>
      <c r="D1" s="94"/>
      <c r="E1" s="94"/>
      <c r="F1" s="94"/>
      <c r="G1" s="94" t="s">
        <v>36</v>
      </c>
      <c r="H1" s="94"/>
      <c r="K1" s="96" t="s">
        <v>39</v>
      </c>
      <c r="L1" s="97" t="s">
        <v>99</v>
      </c>
      <c r="M1" s="96" t="s">
        <v>100</v>
      </c>
      <c r="O1" s="783" t="s">
        <v>31</v>
      </c>
      <c r="P1" s="782"/>
      <c r="Z1" s="781" t="s">
        <v>35</v>
      </c>
      <c r="AA1" s="782"/>
    </row>
    <row r="2" spans="2:27" ht="13.5">
      <c r="B2" s="98"/>
      <c r="C2" s="99"/>
      <c r="D2" s="94"/>
      <c r="E2" s="94"/>
      <c r="F2" s="94"/>
      <c r="G2" s="94"/>
      <c r="H2" s="94"/>
      <c r="K2" s="100"/>
      <c r="L2" s="93" t="s">
        <v>105</v>
      </c>
      <c r="M2" s="100" t="s">
        <v>94</v>
      </c>
      <c r="O2" s="101" t="s">
        <v>168</v>
      </c>
      <c r="P2" s="102"/>
      <c r="Z2" s="103" t="s">
        <v>216</v>
      </c>
      <c r="AA2" s="99"/>
    </row>
    <row r="3" spans="2:26" ht="13.5">
      <c r="B3" s="98" t="s">
        <v>138</v>
      </c>
      <c r="C3" s="99"/>
      <c r="D3" s="94"/>
      <c r="E3" s="94"/>
      <c r="F3" s="94"/>
      <c r="G3" s="94" t="s">
        <v>37</v>
      </c>
      <c r="H3" s="94"/>
      <c r="K3" s="100" t="s">
        <v>40</v>
      </c>
      <c r="M3" s="118" t="s">
        <v>161</v>
      </c>
      <c r="O3" s="93" t="s">
        <v>134</v>
      </c>
      <c r="P3" s="93" t="s">
        <v>106</v>
      </c>
      <c r="Z3" s="188" t="s">
        <v>202</v>
      </c>
    </row>
    <row r="4" spans="2:26" ht="13.5">
      <c r="B4" s="98" t="s">
        <v>137</v>
      </c>
      <c r="C4" s="99"/>
      <c r="D4" s="94"/>
      <c r="E4" s="94"/>
      <c r="F4" s="94"/>
      <c r="G4" s="94" t="s">
        <v>97</v>
      </c>
      <c r="H4" s="94"/>
      <c r="K4" s="100" t="s">
        <v>41</v>
      </c>
      <c r="L4" s="93" t="s">
        <v>93</v>
      </c>
      <c r="M4" s="100" t="s">
        <v>45</v>
      </c>
      <c r="O4" s="104" t="s">
        <v>135</v>
      </c>
      <c r="P4" s="104" t="s">
        <v>136</v>
      </c>
      <c r="Z4" s="188" t="s">
        <v>105</v>
      </c>
    </row>
    <row r="5" spans="2:26" ht="13.5">
      <c r="B5" s="98" t="s">
        <v>139</v>
      </c>
      <c r="C5" s="99"/>
      <c r="D5" s="94"/>
      <c r="E5" s="94"/>
      <c r="F5" s="94"/>
      <c r="G5" s="94" t="s">
        <v>98</v>
      </c>
      <c r="H5" s="94"/>
      <c r="K5" s="105" t="s">
        <v>94</v>
      </c>
      <c r="L5" s="93" t="s">
        <v>93</v>
      </c>
      <c r="M5" s="100" t="s">
        <v>44</v>
      </c>
      <c r="O5" s="93" t="s">
        <v>85</v>
      </c>
      <c r="P5" s="93" t="s">
        <v>106</v>
      </c>
      <c r="Z5" s="188"/>
    </row>
    <row r="6" spans="2:30" ht="13.5">
      <c r="B6" s="98" t="s">
        <v>140</v>
      </c>
      <c r="C6" s="99"/>
      <c r="D6" s="94"/>
      <c r="E6" s="94"/>
      <c r="F6" s="94"/>
      <c r="G6" s="94" t="s">
        <v>95</v>
      </c>
      <c r="H6" s="94"/>
      <c r="K6" s="105" t="s">
        <v>45</v>
      </c>
      <c r="L6" s="93" t="s">
        <v>93</v>
      </c>
      <c r="M6" s="100" t="s">
        <v>43</v>
      </c>
      <c r="O6" s="93" t="s">
        <v>151</v>
      </c>
      <c r="P6" s="106" t="s">
        <v>106</v>
      </c>
      <c r="Z6" s="98" t="s">
        <v>256</v>
      </c>
      <c r="AA6" s="98" t="s">
        <v>206</v>
      </c>
      <c r="AD6" s="93" t="s">
        <v>316</v>
      </c>
    </row>
    <row r="7" spans="2:30" ht="13.5">
      <c r="B7" s="107"/>
      <c r="C7" s="108"/>
      <c r="D7" s="94"/>
      <c r="E7" s="94"/>
      <c r="F7" s="94"/>
      <c r="G7" s="94" t="s">
        <v>96</v>
      </c>
      <c r="H7" s="94"/>
      <c r="K7" s="105" t="s">
        <v>92</v>
      </c>
      <c r="L7" s="93" t="s">
        <v>93</v>
      </c>
      <c r="M7" s="100" t="s">
        <v>42</v>
      </c>
      <c r="O7" s="93" t="s">
        <v>92</v>
      </c>
      <c r="P7" s="93" t="s">
        <v>106</v>
      </c>
      <c r="Z7" s="98" t="s">
        <v>257</v>
      </c>
      <c r="AA7" s="98" t="s">
        <v>207</v>
      </c>
      <c r="AD7" s="188"/>
    </row>
    <row r="8" spans="2:30" ht="14.25" thickBot="1">
      <c r="B8" s="98" t="s">
        <v>141</v>
      </c>
      <c r="C8" s="99"/>
      <c r="D8" s="94"/>
      <c r="E8" s="94"/>
      <c r="F8" s="94"/>
      <c r="G8" s="94"/>
      <c r="H8" s="94"/>
      <c r="K8" s="109"/>
      <c r="L8" s="93" t="s">
        <v>93</v>
      </c>
      <c r="M8" s="100" t="s">
        <v>134</v>
      </c>
      <c r="O8" s="93" t="s">
        <v>149</v>
      </c>
      <c r="P8" s="106" t="s">
        <v>106</v>
      </c>
      <c r="Z8" s="98" t="s">
        <v>266</v>
      </c>
      <c r="AA8" s="98" t="s">
        <v>208</v>
      </c>
      <c r="AD8" s="93" t="s">
        <v>317</v>
      </c>
    </row>
    <row r="9" spans="2:30" ht="13.5">
      <c r="B9" s="98" t="s">
        <v>142</v>
      </c>
      <c r="C9" s="99"/>
      <c r="D9" s="94"/>
      <c r="E9" s="94"/>
      <c r="F9" s="94"/>
      <c r="G9" s="94"/>
      <c r="H9" s="94"/>
      <c r="L9" s="93" t="s">
        <v>93</v>
      </c>
      <c r="M9" s="100" t="s">
        <v>170</v>
      </c>
      <c r="O9" s="93" t="s">
        <v>150</v>
      </c>
      <c r="P9" s="106" t="s">
        <v>106</v>
      </c>
      <c r="Z9" s="98" t="s">
        <v>258</v>
      </c>
      <c r="AA9" s="98" t="s">
        <v>13</v>
      </c>
      <c r="AD9" s="93" t="s">
        <v>318</v>
      </c>
    </row>
    <row r="10" spans="2:30" ht="13.5">
      <c r="B10" s="98" t="s">
        <v>143</v>
      </c>
      <c r="C10" s="99"/>
      <c r="D10" s="94"/>
      <c r="E10" s="94"/>
      <c r="F10" s="94"/>
      <c r="G10" s="94" t="s">
        <v>101</v>
      </c>
      <c r="H10" s="94"/>
      <c r="L10" s="93" t="s">
        <v>93</v>
      </c>
      <c r="M10" s="100" t="s">
        <v>171</v>
      </c>
      <c r="Z10" s="98" t="s">
        <v>259</v>
      </c>
      <c r="AA10" s="98" t="s">
        <v>209</v>
      </c>
      <c r="AD10" s="93" t="s">
        <v>319</v>
      </c>
    </row>
    <row r="11" spans="2:30" ht="13.5">
      <c r="B11" s="98" t="s">
        <v>144</v>
      </c>
      <c r="C11" s="99"/>
      <c r="G11" s="94" t="s">
        <v>102</v>
      </c>
      <c r="L11" s="93" t="s">
        <v>40</v>
      </c>
      <c r="M11" s="100" t="s">
        <v>46</v>
      </c>
      <c r="Z11" s="98" t="s">
        <v>260</v>
      </c>
      <c r="AA11" s="98" t="s">
        <v>210</v>
      </c>
      <c r="AD11" s="93" t="s">
        <v>320</v>
      </c>
    </row>
    <row r="12" spans="2:30" ht="13.5">
      <c r="B12" s="98" t="s">
        <v>146</v>
      </c>
      <c r="C12" s="99"/>
      <c r="G12" s="94" t="s">
        <v>103</v>
      </c>
      <c r="L12" s="93" t="s">
        <v>40</v>
      </c>
      <c r="M12" s="100" t="s">
        <v>47</v>
      </c>
      <c r="Z12" s="98" t="s">
        <v>264</v>
      </c>
      <c r="AA12" s="98" t="s">
        <v>211</v>
      </c>
      <c r="AD12" s="93" t="s">
        <v>321</v>
      </c>
    </row>
    <row r="13" spans="2:30" ht="14.25" thickBot="1">
      <c r="B13" s="98" t="s">
        <v>145</v>
      </c>
      <c r="C13" s="99"/>
      <c r="G13" s="94" t="s">
        <v>38</v>
      </c>
      <c r="L13" s="93" t="s">
        <v>40</v>
      </c>
      <c r="M13" s="100" t="s">
        <v>48</v>
      </c>
      <c r="O13" s="95">
        <v>1</v>
      </c>
      <c r="P13" s="95">
        <v>2</v>
      </c>
      <c r="Q13" s="95">
        <v>3</v>
      </c>
      <c r="R13" s="95">
        <v>4</v>
      </c>
      <c r="S13" s="259">
        <v>5</v>
      </c>
      <c r="T13" s="259">
        <v>6</v>
      </c>
      <c r="U13" s="259">
        <v>7</v>
      </c>
      <c r="V13" s="259">
        <v>8</v>
      </c>
      <c r="Z13" s="98" t="s">
        <v>261</v>
      </c>
      <c r="AA13" s="98" t="s">
        <v>212</v>
      </c>
      <c r="AD13" s="93" t="s">
        <v>322</v>
      </c>
    </row>
    <row r="14" spans="2:30" ht="13.5">
      <c r="B14" s="98" t="s">
        <v>147</v>
      </c>
      <c r="C14" s="99"/>
      <c r="G14" s="94" t="s">
        <v>104</v>
      </c>
      <c r="L14" s="93" t="s">
        <v>40</v>
      </c>
      <c r="M14" s="100" t="s">
        <v>49</v>
      </c>
      <c r="O14" s="110"/>
      <c r="P14" s="111"/>
      <c r="Q14" s="111"/>
      <c r="R14" s="111"/>
      <c r="S14" s="111"/>
      <c r="T14" s="111"/>
      <c r="U14" s="112"/>
      <c r="Z14" s="98" t="s">
        <v>262</v>
      </c>
      <c r="AA14" s="98" t="s">
        <v>213</v>
      </c>
      <c r="AD14" s="93" t="s">
        <v>323</v>
      </c>
    </row>
    <row r="15" spans="2:30" ht="14.25" thickBot="1">
      <c r="B15" s="113"/>
      <c r="C15" s="114"/>
      <c r="L15" s="93" t="s">
        <v>40</v>
      </c>
      <c r="M15" s="100" t="s">
        <v>50</v>
      </c>
      <c r="O15" s="115" t="s">
        <v>173</v>
      </c>
      <c r="P15" s="116" t="s">
        <v>178</v>
      </c>
      <c r="Q15" s="116" t="s">
        <v>179</v>
      </c>
      <c r="R15" s="116" t="s">
        <v>180</v>
      </c>
      <c r="S15" s="116" t="s">
        <v>181</v>
      </c>
      <c r="T15" s="116" t="s">
        <v>183</v>
      </c>
      <c r="U15" s="117" t="s">
        <v>182</v>
      </c>
      <c r="V15" s="378"/>
      <c r="Z15" s="98" t="s">
        <v>263</v>
      </c>
      <c r="AA15" s="98" t="s">
        <v>214</v>
      </c>
      <c r="AD15" s="93" t="s">
        <v>324</v>
      </c>
    </row>
    <row r="16" spans="12:30" ht="13.5">
      <c r="L16" s="93" t="s">
        <v>40</v>
      </c>
      <c r="M16" s="100" t="s">
        <v>51</v>
      </c>
      <c r="O16" s="118" t="s">
        <v>161</v>
      </c>
      <c r="P16" s="116"/>
      <c r="Q16" s="116"/>
      <c r="R16" s="116"/>
      <c r="S16" s="116"/>
      <c r="T16" s="116"/>
      <c r="U16" s="117"/>
      <c r="Z16" s="98" t="s">
        <v>265</v>
      </c>
      <c r="AA16" s="98" t="s">
        <v>215</v>
      </c>
      <c r="AD16" s="93" t="s">
        <v>325</v>
      </c>
    </row>
    <row r="17" spans="12:30" ht="12.75">
      <c r="L17" s="93" t="s">
        <v>40</v>
      </c>
      <c r="M17" s="100" t="s">
        <v>52</v>
      </c>
      <c r="O17" s="115" t="s">
        <v>189</v>
      </c>
      <c r="P17" s="520" t="s">
        <v>504</v>
      </c>
      <c r="Q17" s="120">
        <v>100</v>
      </c>
      <c r="R17" s="120">
        <v>100</v>
      </c>
      <c r="S17" s="120" t="s">
        <v>184</v>
      </c>
      <c r="T17" s="120" t="s">
        <v>184</v>
      </c>
      <c r="U17" s="121" t="s">
        <v>184</v>
      </c>
      <c r="AD17" s="93" t="s">
        <v>326</v>
      </c>
    </row>
    <row r="18" spans="12:30" ht="12.75">
      <c r="L18" s="93" t="s">
        <v>40</v>
      </c>
      <c r="M18" s="100" t="s">
        <v>53</v>
      </c>
      <c r="O18" s="115" t="s">
        <v>190</v>
      </c>
      <c r="P18" s="520" t="s">
        <v>505</v>
      </c>
      <c r="Q18" s="120">
        <v>100</v>
      </c>
      <c r="R18" s="120">
        <v>100</v>
      </c>
      <c r="S18" s="120" t="s">
        <v>184</v>
      </c>
      <c r="T18" s="120" t="s">
        <v>184</v>
      </c>
      <c r="U18" s="121" t="s">
        <v>184</v>
      </c>
      <c r="W18" s="187"/>
      <c r="AD18" s="93" t="s">
        <v>327</v>
      </c>
    </row>
    <row r="19" spans="12:30" ht="12.75">
      <c r="L19" s="93" t="s">
        <v>40</v>
      </c>
      <c r="M19" s="100" t="s">
        <v>54</v>
      </c>
      <c r="O19" s="115" t="s">
        <v>175</v>
      </c>
      <c r="P19" s="520" t="s">
        <v>506</v>
      </c>
      <c r="Q19" s="120">
        <v>100</v>
      </c>
      <c r="R19" s="120">
        <v>2652</v>
      </c>
      <c r="S19" s="120">
        <v>2850</v>
      </c>
      <c r="T19" s="120">
        <v>1405</v>
      </c>
      <c r="U19" s="121">
        <v>1651</v>
      </c>
      <c r="AD19" s="93" t="s">
        <v>328</v>
      </c>
    </row>
    <row r="20" spans="12:21" ht="12.75">
      <c r="L20" s="93" t="s">
        <v>40</v>
      </c>
      <c r="M20" s="100" t="s">
        <v>55</v>
      </c>
      <c r="O20" s="115" t="s">
        <v>85</v>
      </c>
      <c r="P20" s="520">
        <v>10102</v>
      </c>
      <c r="Q20" s="120">
        <v>100</v>
      </c>
      <c r="R20" s="120">
        <v>2652</v>
      </c>
      <c r="S20" s="120">
        <v>2850</v>
      </c>
      <c r="T20" s="120">
        <v>1405</v>
      </c>
      <c r="U20" s="121">
        <v>1651</v>
      </c>
    </row>
    <row r="21" spans="12:21" ht="12.75">
      <c r="L21" s="93" t="s">
        <v>40</v>
      </c>
      <c r="M21" s="100" t="s">
        <v>56</v>
      </c>
      <c r="O21" s="115" t="s">
        <v>467</v>
      </c>
      <c r="P21" s="520">
        <v>10102</v>
      </c>
      <c r="Q21" s="120">
        <v>100</v>
      </c>
      <c r="R21" s="120">
        <v>2652</v>
      </c>
      <c r="S21" s="120">
        <v>2850</v>
      </c>
      <c r="T21" s="120">
        <v>1405</v>
      </c>
      <c r="U21" s="121">
        <v>1651</v>
      </c>
    </row>
    <row r="22" spans="12:21" ht="12.75">
      <c r="L22" s="93" t="s">
        <v>40</v>
      </c>
      <c r="M22" s="100" t="s">
        <v>57</v>
      </c>
      <c r="O22" s="115" t="s">
        <v>191</v>
      </c>
      <c r="P22" s="520" t="s">
        <v>507</v>
      </c>
      <c r="Q22" s="120">
        <v>100</v>
      </c>
      <c r="R22" s="120">
        <v>100</v>
      </c>
      <c r="S22" s="120" t="s">
        <v>184</v>
      </c>
      <c r="T22" s="120" t="s">
        <v>184</v>
      </c>
      <c r="U22" s="121" t="s">
        <v>184</v>
      </c>
    </row>
    <row r="23" spans="12:21" ht="12.75">
      <c r="L23" s="93" t="s">
        <v>40</v>
      </c>
      <c r="M23" s="100" t="s">
        <v>58</v>
      </c>
      <c r="O23" s="115" t="s">
        <v>463</v>
      </c>
      <c r="P23" s="520" t="s">
        <v>508</v>
      </c>
      <c r="Q23" s="120">
        <v>100</v>
      </c>
      <c r="R23" s="120" t="s">
        <v>184</v>
      </c>
      <c r="S23" s="120" t="s">
        <v>184</v>
      </c>
      <c r="T23" s="120" t="s">
        <v>184</v>
      </c>
      <c r="U23" s="121" t="s">
        <v>184</v>
      </c>
    </row>
    <row r="24" spans="12:26" ht="12.75">
      <c r="L24" s="93" t="s">
        <v>40</v>
      </c>
      <c r="M24" s="100" t="s">
        <v>59</v>
      </c>
      <c r="O24" s="115" t="s">
        <v>462</v>
      </c>
      <c r="P24" s="520">
        <v>10102</v>
      </c>
      <c r="Q24" s="120">
        <v>100</v>
      </c>
      <c r="R24" s="120">
        <v>2652</v>
      </c>
      <c r="S24" s="120">
        <v>2850</v>
      </c>
      <c r="T24" s="120">
        <v>1405</v>
      </c>
      <c r="U24" s="121">
        <v>1651</v>
      </c>
      <c r="Z24" s="188" t="s">
        <v>285</v>
      </c>
    </row>
    <row r="25" spans="12:26" ht="12.75">
      <c r="L25" s="93" t="s">
        <v>40</v>
      </c>
      <c r="M25" s="100" t="s">
        <v>60</v>
      </c>
      <c r="O25" s="115" t="s">
        <v>177</v>
      </c>
      <c r="P25" s="520" t="s">
        <v>509</v>
      </c>
      <c r="Q25" s="120">
        <v>100</v>
      </c>
      <c r="R25" s="120">
        <v>2652</v>
      </c>
      <c r="S25" s="120">
        <v>2850</v>
      </c>
      <c r="T25" s="120">
        <v>1405</v>
      </c>
      <c r="U25" s="121">
        <v>1651</v>
      </c>
      <c r="Z25" s="93"/>
    </row>
    <row r="26" spans="12:29" ht="12.75">
      <c r="L26" s="93" t="s">
        <v>40</v>
      </c>
      <c r="M26" s="100" t="s">
        <v>61</v>
      </c>
      <c r="O26" s="115" t="s">
        <v>174</v>
      </c>
      <c r="P26" s="520" t="s">
        <v>510</v>
      </c>
      <c r="Q26" s="120">
        <v>100</v>
      </c>
      <c r="R26" s="120">
        <v>2652</v>
      </c>
      <c r="S26" s="120" t="s">
        <v>184</v>
      </c>
      <c r="T26" s="120">
        <v>1405</v>
      </c>
      <c r="U26" s="121">
        <v>1651</v>
      </c>
      <c r="Z26" s="403" t="s">
        <v>329</v>
      </c>
      <c r="AA26" s="403" t="s">
        <v>330</v>
      </c>
      <c r="AB26" s="296"/>
      <c r="AC26" s="296"/>
    </row>
    <row r="27" spans="12:29" ht="12.75">
      <c r="L27" s="93" t="s">
        <v>40</v>
      </c>
      <c r="M27" s="100" t="s">
        <v>169</v>
      </c>
      <c r="O27" s="115" t="s">
        <v>502</v>
      </c>
      <c r="P27" s="520" t="s">
        <v>511</v>
      </c>
      <c r="Q27" s="120">
        <v>100</v>
      </c>
      <c r="R27" s="120">
        <v>100</v>
      </c>
      <c r="S27" s="120" t="s">
        <v>184</v>
      </c>
      <c r="T27" s="120" t="s">
        <v>184</v>
      </c>
      <c r="U27" s="121" t="s">
        <v>184</v>
      </c>
      <c r="Z27" s="402" t="s">
        <v>259</v>
      </c>
      <c r="AA27" s="402" t="s">
        <v>209</v>
      </c>
      <c r="AB27" s="296"/>
      <c r="AC27" s="296"/>
    </row>
    <row r="28" spans="12:29" ht="12.75">
      <c r="L28" s="93" t="s">
        <v>40</v>
      </c>
      <c r="M28" s="100" t="s">
        <v>62</v>
      </c>
      <c r="O28" s="115" t="s">
        <v>503</v>
      </c>
      <c r="P28" s="520" t="s">
        <v>512</v>
      </c>
      <c r="Q28" s="120">
        <v>100</v>
      </c>
      <c r="R28" s="120">
        <v>100</v>
      </c>
      <c r="S28" s="120" t="s">
        <v>184</v>
      </c>
      <c r="T28" s="120" t="s">
        <v>184</v>
      </c>
      <c r="U28" s="121" t="s">
        <v>184</v>
      </c>
      <c r="Z28" s="402" t="s">
        <v>260</v>
      </c>
      <c r="AA28" s="402" t="s">
        <v>210</v>
      </c>
      <c r="AB28" s="296"/>
      <c r="AC28" s="296"/>
    </row>
    <row r="29" spans="12:29" ht="12.75">
      <c r="L29" s="93" t="s">
        <v>40</v>
      </c>
      <c r="M29" s="100" t="s">
        <v>63</v>
      </c>
      <c r="O29" s="115" t="s">
        <v>176</v>
      </c>
      <c r="P29" s="520" t="s">
        <v>513</v>
      </c>
      <c r="Q29" s="120">
        <v>100</v>
      </c>
      <c r="R29" s="120">
        <v>2652</v>
      </c>
      <c r="S29" s="120">
        <v>2850</v>
      </c>
      <c r="T29" s="120">
        <v>1405</v>
      </c>
      <c r="U29" s="121">
        <v>1651</v>
      </c>
      <c r="Z29" s="402" t="s">
        <v>265</v>
      </c>
      <c r="AA29" s="402" t="s">
        <v>215</v>
      </c>
      <c r="AB29" s="296"/>
      <c r="AC29" s="296"/>
    </row>
    <row r="30" spans="12:29" ht="12.75">
      <c r="L30" s="93" t="s">
        <v>40</v>
      </c>
      <c r="M30" s="100" t="s">
        <v>64</v>
      </c>
      <c r="O30" s="115" t="s">
        <v>466</v>
      </c>
      <c r="P30" s="520" t="s">
        <v>514</v>
      </c>
      <c r="Q30" s="120">
        <v>100</v>
      </c>
      <c r="R30" s="120">
        <v>100</v>
      </c>
      <c r="S30" s="120" t="s">
        <v>184</v>
      </c>
      <c r="T30" s="120" t="s">
        <v>184</v>
      </c>
      <c r="U30" s="121" t="s">
        <v>184</v>
      </c>
      <c r="Z30" s="402" t="s">
        <v>417</v>
      </c>
      <c r="AA30" s="402" t="s">
        <v>418</v>
      </c>
      <c r="AB30" s="296"/>
      <c r="AC30" s="296"/>
    </row>
    <row r="31" spans="12:29" ht="12.75">
      <c r="L31" s="93" t="s">
        <v>40</v>
      </c>
      <c r="M31" s="100" t="s">
        <v>65</v>
      </c>
      <c r="O31" s="115" t="s">
        <v>517</v>
      </c>
      <c r="P31" s="520" t="s">
        <v>518</v>
      </c>
      <c r="Q31" s="120">
        <v>100</v>
      </c>
      <c r="R31" s="120" t="s">
        <v>184</v>
      </c>
      <c r="S31" s="120" t="s">
        <v>184</v>
      </c>
      <c r="T31" s="120" t="s">
        <v>184</v>
      </c>
      <c r="U31" s="121" t="s">
        <v>184</v>
      </c>
      <c r="Z31" s="402" t="s">
        <v>415</v>
      </c>
      <c r="AA31" s="402" t="s">
        <v>416</v>
      </c>
      <c r="AB31" s="296"/>
      <c r="AC31" s="296"/>
    </row>
    <row r="32" spans="12:29" ht="12.75">
      <c r="L32" s="93" t="s">
        <v>40</v>
      </c>
      <c r="M32" s="100" t="s">
        <v>66</v>
      </c>
      <c r="O32" s="115" t="s">
        <v>519</v>
      </c>
      <c r="P32" s="520" t="s">
        <v>518</v>
      </c>
      <c r="Q32" s="120">
        <v>100</v>
      </c>
      <c r="R32" s="120" t="s">
        <v>184</v>
      </c>
      <c r="S32" s="120" t="s">
        <v>184</v>
      </c>
      <c r="T32" s="120" t="s">
        <v>184</v>
      </c>
      <c r="U32" s="121" t="s">
        <v>184</v>
      </c>
      <c r="Z32" s="402" t="s">
        <v>261</v>
      </c>
      <c r="AA32" s="402" t="s">
        <v>212</v>
      </c>
      <c r="AB32" s="296"/>
      <c r="AC32" s="296"/>
    </row>
    <row r="33" spans="12:29" ht="13.5" thickBot="1">
      <c r="L33" s="93" t="s">
        <v>40</v>
      </c>
      <c r="M33" s="100" t="s">
        <v>67</v>
      </c>
      <c r="O33" s="122" t="s">
        <v>149</v>
      </c>
      <c r="P33" s="521">
        <v>10101</v>
      </c>
      <c r="Q33" s="467">
        <v>100</v>
      </c>
      <c r="R33" s="467" t="s">
        <v>184</v>
      </c>
      <c r="S33" s="467" t="s">
        <v>184</v>
      </c>
      <c r="T33" s="467" t="s">
        <v>184</v>
      </c>
      <c r="U33" s="468" t="s">
        <v>184</v>
      </c>
      <c r="Z33" s="402" t="s">
        <v>264</v>
      </c>
      <c r="AA33" s="402" t="s">
        <v>211</v>
      </c>
      <c r="AB33" s="296"/>
      <c r="AC33" s="296"/>
    </row>
    <row r="34" spans="12:29" ht="12.75">
      <c r="L34" s="93" t="s">
        <v>40</v>
      </c>
      <c r="M34" s="100" t="s">
        <v>68</v>
      </c>
      <c r="O34" s="524" t="s">
        <v>520</v>
      </c>
      <c r="Z34" s="402" t="s">
        <v>286</v>
      </c>
      <c r="AA34" s="402" t="s">
        <v>287</v>
      </c>
      <c r="AB34" s="296"/>
      <c r="AC34" s="296"/>
    </row>
    <row r="35" spans="12:29" ht="12.75">
      <c r="L35" s="93" t="s">
        <v>40</v>
      </c>
      <c r="M35" s="100" t="s">
        <v>69</v>
      </c>
      <c r="Z35" s="403" t="s">
        <v>419</v>
      </c>
      <c r="AA35" s="403" t="s">
        <v>420</v>
      </c>
      <c r="AB35" s="296"/>
      <c r="AC35" s="296"/>
    </row>
    <row r="36" spans="12:27" ht="12.75">
      <c r="L36" s="93" t="s">
        <v>40</v>
      </c>
      <c r="M36" s="100" t="s">
        <v>70</v>
      </c>
      <c r="O36" s="93" t="s">
        <v>222</v>
      </c>
      <c r="P36" s="491">
        <f>40</f>
        <v>40</v>
      </c>
      <c r="Z36" s="402" t="s">
        <v>434</v>
      </c>
      <c r="AA36" s="402" t="s">
        <v>435</v>
      </c>
    </row>
    <row r="37" spans="12:13" ht="12.75">
      <c r="L37" s="93" t="s">
        <v>40</v>
      </c>
      <c r="M37" s="100" t="s">
        <v>71</v>
      </c>
    </row>
    <row r="38" spans="12:13" ht="12.75">
      <c r="L38" s="93" t="s">
        <v>40</v>
      </c>
      <c r="M38" s="100" t="s">
        <v>72</v>
      </c>
    </row>
    <row r="39" spans="12:13" ht="12.75">
      <c r="L39" s="93" t="s">
        <v>40</v>
      </c>
      <c r="M39" s="100" t="s">
        <v>73</v>
      </c>
    </row>
    <row r="40" spans="12:15" ht="12.75">
      <c r="L40" s="93" t="s">
        <v>40</v>
      </c>
      <c r="M40" s="100" t="s">
        <v>74</v>
      </c>
      <c r="O40" s="188" t="s">
        <v>297</v>
      </c>
    </row>
    <row r="41" spans="12:26" ht="12.75">
      <c r="L41" s="93" t="s">
        <v>40</v>
      </c>
      <c r="M41" s="100" t="s">
        <v>75</v>
      </c>
      <c r="O41" s="93" t="s">
        <v>246</v>
      </c>
      <c r="P41" s="118" t="s">
        <v>247</v>
      </c>
      <c r="Q41" s="118" t="s">
        <v>248</v>
      </c>
      <c r="V41" s="119"/>
      <c r="W41" s="120"/>
      <c r="X41" s="120"/>
      <c r="Y41" s="120"/>
      <c r="Z41" s="120"/>
    </row>
    <row r="42" spans="12:17" ht="12.75">
      <c r="L42" s="93" t="s">
        <v>40</v>
      </c>
      <c r="M42" s="100" t="s">
        <v>76</v>
      </c>
      <c r="P42" s="95">
        <v>0</v>
      </c>
      <c r="Q42" s="95">
        <v>0</v>
      </c>
    </row>
    <row r="43" spans="12:17" ht="12.75">
      <c r="L43" s="93" t="s">
        <v>40</v>
      </c>
      <c r="M43" s="100" t="s">
        <v>77</v>
      </c>
      <c r="P43" s="95">
        <v>1</v>
      </c>
      <c r="Q43" s="95">
        <v>1</v>
      </c>
    </row>
    <row r="44" spans="12:17" ht="12.75">
      <c r="L44" s="93" t="s">
        <v>40</v>
      </c>
      <c r="M44" s="100" t="s">
        <v>78</v>
      </c>
      <c r="P44" s="95">
        <v>2</v>
      </c>
      <c r="Q44" s="95">
        <v>2</v>
      </c>
    </row>
    <row r="45" spans="12:17" ht="12.75">
      <c r="L45" s="93" t="s">
        <v>40</v>
      </c>
      <c r="M45" s="100" t="s">
        <v>79</v>
      </c>
      <c r="P45" s="95">
        <v>3</v>
      </c>
      <c r="Q45" s="95">
        <v>3</v>
      </c>
    </row>
    <row r="46" spans="12:17" ht="12.75">
      <c r="L46" s="93" t="s">
        <v>40</v>
      </c>
      <c r="M46" s="100" t="s">
        <v>80</v>
      </c>
      <c r="P46" s="95">
        <v>4</v>
      </c>
      <c r="Q46" s="95">
        <v>4</v>
      </c>
    </row>
    <row r="47" spans="12:17" ht="12.75">
      <c r="L47" s="93" t="s">
        <v>40</v>
      </c>
      <c r="M47" s="100" t="s">
        <v>81</v>
      </c>
      <c r="P47" s="95">
        <v>5</v>
      </c>
      <c r="Q47" s="95">
        <v>5</v>
      </c>
    </row>
    <row r="48" spans="12:17" ht="12.75">
      <c r="L48" s="93" t="s">
        <v>40</v>
      </c>
      <c r="M48" s="100" t="s">
        <v>82</v>
      </c>
      <c r="P48" s="95">
        <v>6</v>
      </c>
      <c r="Q48" s="95">
        <v>6</v>
      </c>
    </row>
    <row r="49" spans="12:17" ht="12.75">
      <c r="L49" s="93" t="s">
        <v>40</v>
      </c>
      <c r="M49" s="100" t="s">
        <v>83</v>
      </c>
      <c r="P49" s="95">
        <v>7</v>
      </c>
      <c r="Q49" s="95">
        <v>7</v>
      </c>
    </row>
    <row r="50" spans="13:17" ht="12.75">
      <c r="M50" s="101" t="s">
        <v>168</v>
      </c>
      <c r="P50" s="95">
        <v>8</v>
      </c>
      <c r="Q50" s="95">
        <v>8</v>
      </c>
    </row>
    <row r="51" spans="12:17" ht="12.75">
      <c r="L51" s="93" t="s">
        <v>92</v>
      </c>
      <c r="M51" s="100" t="s">
        <v>84</v>
      </c>
      <c r="P51" s="95">
        <v>9</v>
      </c>
      <c r="Q51" s="95">
        <v>9</v>
      </c>
    </row>
    <row r="52" spans="12:13" ht="12.75">
      <c r="L52" s="93" t="s">
        <v>92</v>
      </c>
      <c r="M52" s="100" t="s">
        <v>85</v>
      </c>
    </row>
    <row r="53" spans="12:13" ht="12.75">
      <c r="L53" s="93" t="s">
        <v>92</v>
      </c>
      <c r="M53" s="100" t="s">
        <v>86</v>
      </c>
    </row>
    <row r="54" spans="12:13" ht="12.75">
      <c r="L54" s="93" t="s">
        <v>92</v>
      </c>
      <c r="M54" s="100" t="s">
        <v>87</v>
      </c>
    </row>
    <row r="55" spans="12:13" ht="12.75">
      <c r="L55" s="93" t="s">
        <v>92</v>
      </c>
      <c r="M55" s="100" t="s">
        <v>88</v>
      </c>
    </row>
    <row r="56" spans="12:13" ht="12.75">
      <c r="L56" s="93" t="s">
        <v>92</v>
      </c>
      <c r="M56" s="100" t="s">
        <v>89</v>
      </c>
    </row>
    <row r="57" spans="12:13" ht="12.75">
      <c r="L57" s="93" t="s">
        <v>92</v>
      </c>
      <c r="M57" s="100" t="s">
        <v>90</v>
      </c>
    </row>
    <row r="58" spans="12:13" ht="13.5" thickBot="1">
      <c r="L58" s="93" t="s">
        <v>92</v>
      </c>
      <c r="M58" s="100" t="s">
        <v>91</v>
      </c>
    </row>
    <row r="59" spans="12:14" ht="13.5" thickTop="1">
      <c r="L59" s="93"/>
      <c r="M59" s="379" t="s">
        <v>161</v>
      </c>
      <c r="N59" s="329" t="s">
        <v>299</v>
      </c>
    </row>
    <row r="60" spans="12:13" ht="12.75">
      <c r="L60" s="93"/>
      <c r="M60" s="123" t="s">
        <v>116</v>
      </c>
    </row>
    <row r="61" spans="12:13" ht="12.75">
      <c r="L61" s="93"/>
      <c r="M61" s="123" t="s">
        <v>117</v>
      </c>
    </row>
    <row r="62" spans="12:13" ht="12.75">
      <c r="L62" s="93"/>
      <c r="M62" s="123" t="s">
        <v>118</v>
      </c>
    </row>
    <row r="63" spans="12:13" ht="12.75">
      <c r="L63" s="93"/>
      <c r="M63" s="123" t="s">
        <v>119</v>
      </c>
    </row>
    <row r="64" spans="12:13" ht="12.75">
      <c r="L64" s="93"/>
      <c r="M64" s="123" t="s">
        <v>120</v>
      </c>
    </row>
    <row r="65" spans="12:13" ht="12.75">
      <c r="L65" s="93"/>
      <c r="M65" s="123" t="s">
        <v>121</v>
      </c>
    </row>
    <row r="66" spans="12:13" ht="12.75">
      <c r="L66" s="93"/>
      <c r="M66" s="123" t="s">
        <v>122</v>
      </c>
    </row>
    <row r="67" spans="12:13" ht="12.75">
      <c r="L67" s="93"/>
      <c r="M67" s="123" t="s">
        <v>123</v>
      </c>
    </row>
    <row r="68" spans="12:13" ht="12.75">
      <c r="L68" s="93"/>
      <c r="M68" s="123" t="s">
        <v>124</v>
      </c>
    </row>
    <row r="69" spans="12:13" ht="12.75">
      <c r="L69" s="93"/>
      <c r="M69" s="123" t="s">
        <v>125</v>
      </c>
    </row>
    <row r="70" spans="12:13" ht="12.75">
      <c r="L70" s="93"/>
      <c r="M70" s="123" t="s">
        <v>126</v>
      </c>
    </row>
    <row r="71" spans="12:13" ht="12.75">
      <c r="L71" s="93"/>
      <c r="M71" s="123" t="s">
        <v>127</v>
      </c>
    </row>
    <row r="72" spans="12:13" ht="12.75">
      <c r="L72" s="93"/>
      <c r="M72" s="123" t="s">
        <v>128</v>
      </c>
    </row>
    <row r="73" spans="12:13" ht="12.75">
      <c r="L73" s="93"/>
      <c r="M73" s="123" t="s">
        <v>129</v>
      </c>
    </row>
    <row r="74" spans="12:13" ht="12.75">
      <c r="L74" s="93"/>
      <c r="M74" s="123" t="s">
        <v>130</v>
      </c>
    </row>
    <row r="75" spans="12:13" ht="12.75">
      <c r="L75" s="93"/>
      <c r="M75" s="123" t="s">
        <v>131</v>
      </c>
    </row>
    <row r="76" spans="12:13" ht="12.75">
      <c r="L76" s="93"/>
      <c r="M76" s="123" t="s">
        <v>132</v>
      </c>
    </row>
    <row r="77" ht="12.75">
      <c r="M77" s="123" t="s">
        <v>133</v>
      </c>
    </row>
  </sheetData>
  <sheetProtection password="E508" sheet="1" objects="1" scenarios="1" selectLockedCells="1"/>
  <mergeCells count="3">
    <mergeCell ref="B1:C1"/>
    <mergeCell ref="O1:P1"/>
    <mergeCell ref="Z1:AA1"/>
  </mergeCells>
  <printOptions/>
  <pageMargins left="0.7" right="0.7" top="0.75" bottom="0.75" header="0.3" footer="0.3"/>
  <pageSetup fitToHeight="0" fitToWidth="1" horizontalDpi="600" verticalDpi="600" orientation="landscape" scale="29" r:id="rId1"/>
  <ignoredErrors>
    <ignoredError sqref="P17:P31 P32:U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(8 1/2 x 11, landscape)</dc:title>
  <dc:subject/>
  <dc:creator>Kay Ellis</dc:creator>
  <cp:keywords/>
  <dc:description/>
  <cp:lastModifiedBy>Xiang Wing Guan</cp:lastModifiedBy>
  <cp:lastPrinted>2019-01-29T15:53:51Z</cp:lastPrinted>
  <dcterms:created xsi:type="dcterms:W3CDTF">2015-01-06T20:00:18Z</dcterms:created>
  <dcterms:modified xsi:type="dcterms:W3CDTF">2023-06-26T16:08:29Z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TC062071411033</vt:lpwstr>
  </property>
</Properties>
</file>